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OFIMAT4\sgmr\DEFI\REF\2018-I\Compilación\Gráficos REF Web\"/>
    </mc:Choice>
  </mc:AlternateContent>
  <bookViews>
    <workbookView xWindow="0" yWindow="0" windowWidth="24000" windowHeight="8820" activeTab="10"/>
  </bookViews>
  <sheets>
    <sheet name="G2.1" sheetId="1" r:id="rId1"/>
    <sheet name="G2.2" sheetId="2" r:id="rId2"/>
    <sheet name="G2.3" sheetId="9" r:id="rId3"/>
    <sheet name="G2.4A" sheetId="3" r:id="rId4"/>
    <sheet name="G2.4B" sheetId="4" r:id="rId5"/>
    <sheet name="G2.5A" sheetId="5" r:id="rId6"/>
    <sheet name="G2.5B" sheetId="11" r:id="rId7"/>
    <sheet name="Hoja2" sheetId="10" state="hidden" r:id="rId8"/>
    <sheet name="C2.1" sheetId="6" r:id="rId9"/>
    <sheet name="G2.6A" sheetId="7" r:id="rId10"/>
    <sheet name="G2.6B" sheetId="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5" hidden="1">#REF!</definedName>
    <definedName name="a" localSheetId="6" hidden="1">#REF!</definedName>
    <definedName name="a" hidden="1">#REF!</definedName>
    <definedName name="aa" localSheetId="5" hidden="1">#REF!</definedName>
    <definedName name="aa" localSheetId="6" hidden="1">#REF!</definedName>
    <definedName name="aa" hidden="1">#REF!</definedName>
    <definedName name="aaa" localSheetId="6" hidden="1">#REF!</definedName>
    <definedName name="aaa" hidden="1">#REF!</definedName>
    <definedName name="AAAAA" localSheetId="5">#REF!</definedName>
    <definedName name="AAAAA" localSheetId="6">#REF!</definedName>
    <definedName name="AAAAA">#REF!</definedName>
    <definedName name="adasd" localSheetId="5" hidden="1">#REF!</definedName>
    <definedName name="adasd" localSheetId="6" hidden="1">#REF!</definedName>
    <definedName name="adasd" hidden="1">#REF!</definedName>
    <definedName name="anterior" localSheetId="5">'[2]Gráfico Aseg 7'!#REF!</definedName>
    <definedName name="anterior" localSheetId="6">'[2]Gráfico Aseg 7'!#REF!</definedName>
    <definedName name="anterior">'[2]Gráfico Aseg 7'!#REF!</definedName>
    <definedName name="_xlnm.Print_Area" localSheetId="8">'C2.1'!$C$2:$Q$26</definedName>
    <definedName name="_xlnm.Print_Area" localSheetId="0">'G2.1'!$D$3:$L$25</definedName>
    <definedName name="_xlnm.Print_Area" localSheetId="1">'G2.2'!$S$5:$AF$31</definedName>
    <definedName name="_xlnm.Print_Area" localSheetId="2">'G2.3'!$Q$1:$Y$33</definedName>
    <definedName name="_xlnm.Print_Area" localSheetId="3">'G2.4A'!$H$5:$T$27</definedName>
    <definedName name="_xlnm.Print_Area" localSheetId="4">'G2.4B'!$W$4:$AH$26</definedName>
    <definedName name="_xlnm.Print_Area" localSheetId="5">'G2.5A'!$L$4:$S$27</definedName>
    <definedName name="_xlnm.Print_Area" localSheetId="6">'G2.5B'!$L$29:$S$49</definedName>
    <definedName name="_xlnm.Print_Area" localSheetId="9">'G2.6A'!$G$2:$O$23</definedName>
    <definedName name="_xlnm.Print_Area" localSheetId="10">'G2.6B'!$G$2:$N$19</definedName>
    <definedName name="asasasasasasasas" localSheetId="5">#REF!</definedName>
    <definedName name="asasasasasasasas" localSheetId="6">#REF!</definedName>
    <definedName name="asasasasasasasas">#REF!</definedName>
    <definedName name="asdsad" localSheetId="5">#REF!</definedName>
    <definedName name="asdsad" localSheetId="6">#REF!</definedName>
    <definedName name="asdsad">#REF!</definedName>
    <definedName name="B_2" localSheetId="5">#REF!</definedName>
    <definedName name="B_2" localSheetId="6">#REF!</definedName>
    <definedName name="B_2">#REF!</definedName>
    <definedName name="BLPH1" localSheetId="5" hidden="1">#REF!</definedName>
    <definedName name="BLPH1" localSheetId="6" hidden="1">#REF!</definedName>
    <definedName name="BLPH1" hidden="1">#REF!</definedName>
    <definedName name="BLPH11" localSheetId="5" hidden="1">[3]Bloomberg!#REF!</definedName>
    <definedName name="BLPH11" localSheetId="6" hidden="1">[3]Bloomberg!#REF!</definedName>
    <definedName name="BLPH11" hidden="1">[3]Bloomberg!#REF!</definedName>
    <definedName name="BLPH2" localSheetId="5" hidden="1">#REF!</definedName>
    <definedName name="BLPH2" localSheetId="6" hidden="1">#REF!</definedName>
    <definedName name="BLPH2" hidden="1">#REF!</definedName>
    <definedName name="BLPH3" localSheetId="5" hidden="1">#REF!</definedName>
    <definedName name="BLPH3" localSheetId="6" hidden="1">#REF!</definedName>
    <definedName name="BLPH3" hidden="1">#REF!</definedName>
    <definedName name="BLPH4" localSheetId="5" hidden="1">#REF!</definedName>
    <definedName name="BLPH4" localSheetId="6" hidden="1">#REF!</definedName>
    <definedName name="BLPH4" hidden="1">#REF!</definedName>
    <definedName name="BLPH4000086" localSheetId="5" hidden="1">#REF!</definedName>
    <definedName name="BLPH4000086" localSheetId="6" hidden="1">#REF!</definedName>
    <definedName name="BLPH4000086" hidden="1">#REF!</definedName>
    <definedName name="BLPH4000087" localSheetId="5" hidden="1">#REF!</definedName>
    <definedName name="BLPH4000087" localSheetId="6" hidden="1">#REF!</definedName>
    <definedName name="BLPH4000087" hidden="1">#REF!</definedName>
    <definedName name="BLPH4000088" localSheetId="5" hidden="1">#REF!</definedName>
    <definedName name="BLPH4000088" localSheetId="6" hidden="1">#REF!</definedName>
    <definedName name="BLPH4000088" hidden="1">#REF!</definedName>
    <definedName name="BLPH4000089" localSheetId="5" hidden="1">#REF!</definedName>
    <definedName name="BLPH4000089" localSheetId="6" hidden="1">#REF!</definedName>
    <definedName name="BLPH4000089" hidden="1">#REF!</definedName>
    <definedName name="BLPH4000090" localSheetId="5" hidden="1">#REF!</definedName>
    <definedName name="BLPH4000090" localSheetId="6" hidden="1">#REF!</definedName>
    <definedName name="BLPH4000090" hidden="1">#REF!</definedName>
    <definedName name="BLPH5" localSheetId="5" hidden="1">#REF!</definedName>
    <definedName name="BLPH5" localSheetId="6" hidden="1">#REF!</definedName>
    <definedName name="BLPH5" hidden="1">#REF!</definedName>
    <definedName name="BLPH6" localSheetId="5" hidden="1">#REF!</definedName>
    <definedName name="BLPH6" localSheetId="6" hidden="1">#REF!</definedName>
    <definedName name="BLPH6" hidden="1">#REF!</definedName>
    <definedName name="BLPH7" localSheetId="5" hidden="1">#REF!</definedName>
    <definedName name="BLPH7" localSheetId="6" hidden="1">#REF!</definedName>
    <definedName name="BLPH7" hidden="1">#REF!</definedName>
    <definedName name="BLPH8" localSheetId="5" hidden="1">#REF!</definedName>
    <definedName name="BLPH8" localSheetId="6" hidden="1">#REF!</definedName>
    <definedName name="BLPH8" hidden="1">#REF!</definedName>
    <definedName name="C_2" localSheetId="5">#REF!</definedName>
    <definedName name="C_2" localSheetId="6">#REF!</definedName>
    <definedName name="C_2">#REF!</definedName>
    <definedName name="CAP">[4]BASE!$A$64:$W$71</definedName>
    <definedName name="D_2" localSheetId="5">#REF!</definedName>
    <definedName name="D_2" localSheetId="6">#REF!</definedName>
    <definedName name="D_2">#REF!</definedName>
    <definedName name="dasd" localSheetId="5">'[2]Gráfico Aseg 7'!#REF!</definedName>
    <definedName name="dasd" localSheetId="6">'[2]Gráfico Aseg 7'!#REF!</definedName>
    <definedName name="dasd">'[2]Gráfico Aseg 7'!#REF!</definedName>
    <definedName name="E_2" localSheetId="5">#REF!</definedName>
    <definedName name="E_2" localSheetId="6">#REF!</definedName>
    <definedName name="E_2">#REF!</definedName>
    <definedName name="F_2" localSheetId="5">#REF!</definedName>
    <definedName name="F_2" localSheetId="6">#REF!</definedName>
    <definedName name="F_2">#REF!</definedName>
    <definedName name="Fin_cart_dep" localSheetId="5">#REF!</definedName>
    <definedName name="Fin_cart_dep" localSheetId="6">#REF!</definedName>
    <definedName name="Fin_cart_dep">#REF!</definedName>
    <definedName name="Fin_colocacion" localSheetId="5">#REF!</definedName>
    <definedName name="Fin_colocacion" localSheetId="6">#REF!</definedName>
    <definedName name="Fin_colocacion">#REF!</definedName>
    <definedName name="G_2" localSheetId="5">#REF!</definedName>
    <definedName name="G_2" localSheetId="6">#REF!</definedName>
    <definedName name="G_2">#REF!</definedName>
    <definedName name="GEN">[4]BASE!$A$3:$AI$31</definedName>
    <definedName name="Grafica" localSheetId="5">#REF!</definedName>
    <definedName name="Grafica" localSheetId="6">#REF!</definedName>
    <definedName name="Grafica">#REF!</definedName>
    <definedName name="H_2" localSheetId="5">#REF!</definedName>
    <definedName name="H_2" localSheetId="6">#REF!</definedName>
    <definedName name="H_2">#REF!</definedName>
    <definedName name="hola" localSheetId="5" hidden="1">#REF!</definedName>
    <definedName name="hola" localSheetId="6" hidden="1">#REF!</definedName>
    <definedName name="hola" hidden="1">#REF!</definedName>
    <definedName name="I_2" localSheetId="5">#REF!</definedName>
    <definedName name="I_2" localSheetId="6">#REF!</definedName>
    <definedName name="I_2">#REF!</definedName>
    <definedName name="IFNBC" localSheetId="5">'[2]Gráfico Aseg 7'!#REF!</definedName>
    <definedName name="IFNBC" localSheetId="6">'[2]Gráfico Aseg 7'!#REF!</definedName>
    <definedName name="IFNBC">'[2]Gráfico Aseg 7'!#REF!</definedName>
    <definedName name="indicadores" localSheetId="5">#REF!</definedName>
    <definedName name="indicadores" localSheetId="6">#REF!</definedName>
    <definedName name="indicadores">#REF!</definedName>
    <definedName name="Inicio">'[5]Nota Cambiaria'!$A$1:$E$22</definedName>
    <definedName name="Inicio_cart_dep" localSheetId="5">#REF!</definedName>
    <definedName name="Inicio_cart_dep" localSheetId="6">#REF!</definedName>
    <definedName name="Inicio_cart_dep">#REF!</definedName>
    <definedName name="Inicio_colocacion" localSheetId="5">#REF!</definedName>
    <definedName name="Inicio_colocacion" localSheetId="6">#REF!</definedName>
    <definedName name="Inicio_colocacion">#REF!</definedName>
    <definedName name="MEANSUMMARYSTATSDICIEMBRE_FIL">'[6]stat de sas (mal)'!$A$1:$U$31</definedName>
    <definedName name="meses" localSheetId="5">#REF!</definedName>
    <definedName name="meses" localSheetId="6">#REF!</definedName>
    <definedName name="meses">#REF!</definedName>
    <definedName name="Nota">'[5]Nota Cambiaria'!$M$44</definedName>
    <definedName name="Nuevo" localSheetId="5">'[2]Gráfico Aseg 7'!#REF!</definedName>
    <definedName name="Nuevo" localSheetId="6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5" hidden="1">#REF!</definedName>
    <definedName name="q" localSheetId="6" hidden="1">#REF!</definedName>
    <definedName name="q" hidden="1">#REF!</definedName>
    <definedName name="RANGO1">#N/A</definedName>
    <definedName name="rangosnuevos" localSheetId="5">#REF!</definedName>
    <definedName name="rangosnuevos" localSheetId="6">#REF!</definedName>
    <definedName name="rangosnuevos">#REF!</definedName>
    <definedName name="reunion" localSheetId="5">#REF!</definedName>
    <definedName name="reunion" localSheetId="6">#REF!</definedName>
    <definedName name="reunion">#REF!</definedName>
    <definedName name="s" localSheetId="5">#REF!</definedName>
    <definedName name="s" localSheetId="6">#REF!</definedName>
    <definedName name="s">#REF!</definedName>
    <definedName name="serie" localSheetId="5">#REF!</definedName>
    <definedName name="serie" localSheetId="6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5">#REF!</definedName>
    <definedName name="wdqwqwd" localSheetId="6">#REF!</definedName>
    <definedName name="wdqwqwd">#REF!</definedName>
    <definedName name="wefwe" localSheetId="5">#REF!</definedName>
    <definedName name="wefwe" localSheetId="6">#REF!</definedName>
    <definedName name="wefwe">#REF!</definedName>
    <definedName name="wwq" localSheetId="5" hidden="1">#REF!</definedName>
    <definedName name="wwq" localSheetId="6" hidden="1">#REF!</definedName>
    <definedName name="wwq" hidden="1">#REF!</definedName>
    <definedName name="xxxxx" localSheetId="5">#REF!</definedName>
    <definedName name="xxxxx" localSheetId="6">#REF!</definedName>
    <definedName name="xxxx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2" i="6" l="1"/>
  <c r="R9" i="6"/>
  <c r="L232" i="11"/>
  <c r="L232" i="5"/>
  <c r="D232" i="11" l="1"/>
  <c r="C232" i="11"/>
  <c r="B232" i="11"/>
  <c r="F231" i="11"/>
  <c r="D231" i="11"/>
  <c r="C231" i="11"/>
  <c r="B231" i="11"/>
  <c r="D230" i="11"/>
  <c r="C230" i="11"/>
  <c r="B230" i="11"/>
  <c r="D229" i="11"/>
  <c r="C229" i="11"/>
  <c r="B229" i="11"/>
  <c r="D228" i="11"/>
  <c r="C228" i="11"/>
  <c r="B228" i="11"/>
  <c r="F227" i="11"/>
  <c r="D227" i="11"/>
  <c r="C227" i="11"/>
  <c r="B227" i="11"/>
  <c r="D226" i="11"/>
  <c r="C226" i="11"/>
  <c r="B226" i="11"/>
  <c r="D225" i="11"/>
  <c r="C225" i="11"/>
  <c r="B225" i="11"/>
  <c r="D224" i="11"/>
  <c r="C224" i="11"/>
  <c r="B224" i="11"/>
  <c r="F223" i="11"/>
  <c r="D223" i="11"/>
  <c r="C223" i="11"/>
  <c r="B223" i="11"/>
  <c r="D222" i="11"/>
  <c r="C222" i="11"/>
  <c r="B222" i="11"/>
  <c r="D221" i="11"/>
  <c r="F232" i="11" s="1"/>
  <c r="C221" i="11"/>
  <c r="E232" i="11" s="1"/>
  <c r="G232" i="11" s="1"/>
  <c r="B221" i="11"/>
  <c r="D220" i="11"/>
  <c r="C220" i="11"/>
  <c r="E231" i="11" s="1"/>
  <c r="B220" i="11"/>
  <c r="F219" i="11"/>
  <c r="D219" i="11"/>
  <c r="F230" i="11" s="1"/>
  <c r="H230" i="11" s="1"/>
  <c r="C219" i="11"/>
  <c r="B219" i="11"/>
  <c r="D218" i="11"/>
  <c r="F229" i="11" s="1"/>
  <c r="H229" i="11" s="1"/>
  <c r="C218" i="11"/>
  <c r="B218" i="11"/>
  <c r="D217" i="11"/>
  <c r="F228" i="11" s="1"/>
  <c r="C217" i="11"/>
  <c r="E228" i="11" s="1"/>
  <c r="G228" i="11" s="1"/>
  <c r="B217" i="11"/>
  <c r="D216" i="11"/>
  <c r="C216" i="11"/>
  <c r="E227" i="11" s="1"/>
  <c r="B216" i="11"/>
  <c r="F215" i="11"/>
  <c r="D215" i="11"/>
  <c r="F226" i="11" s="1"/>
  <c r="H226" i="11" s="1"/>
  <c r="C215" i="11"/>
  <c r="B215" i="11"/>
  <c r="D214" i="11"/>
  <c r="F225" i="11" s="1"/>
  <c r="H225" i="11" s="1"/>
  <c r="C214" i="11"/>
  <c r="B214" i="11"/>
  <c r="D213" i="11"/>
  <c r="F224" i="11" s="1"/>
  <c r="C213" i="11"/>
  <c r="E224" i="11" s="1"/>
  <c r="G224" i="11" s="1"/>
  <c r="B213" i="11"/>
  <c r="D212" i="11"/>
  <c r="C212" i="11"/>
  <c r="E223" i="11" s="1"/>
  <c r="B212" i="11"/>
  <c r="F211" i="11"/>
  <c r="D211" i="11"/>
  <c r="F222" i="11" s="1"/>
  <c r="H222" i="11" s="1"/>
  <c r="C211" i="11"/>
  <c r="B211" i="11"/>
  <c r="E210" i="11"/>
  <c r="D210" i="11"/>
  <c r="F221" i="11" s="1"/>
  <c r="H221" i="11" s="1"/>
  <c r="C210" i="11"/>
  <c r="B210" i="11"/>
  <c r="G210" i="11" s="1"/>
  <c r="D209" i="11"/>
  <c r="F220" i="11" s="1"/>
  <c r="C209" i="11"/>
  <c r="E220" i="11" s="1"/>
  <c r="G220" i="11" s="1"/>
  <c r="B209" i="11"/>
  <c r="D208" i="11"/>
  <c r="C208" i="11"/>
  <c r="E219" i="11" s="1"/>
  <c r="B208" i="11"/>
  <c r="F207" i="11"/>
  <c r="D207" i="11"/>
  <c r="F218" i="11" s="1"/>
  <c r="H218" i="11" s="1"/>
  <c r="C207" i="11"/>
  <c r="B207" i="11"/>
  <c r="E206" i="11"/>
  <c r="D206" i="11"/>
  <c r="C206" i="11"/>
  <c r="B206" i="11"/>
  <c r="G206" i="11" s="1"/>
  <c r="D205" i="11"/>
  <c r="F216" i="11" s="1"/>
  <c r="C205" i="11"/>
  <c r="E216" i="11" s="1"/>
  <c r="G216" i="11" s="1"/>
  <c r="B205" i="11"/>
  <c r="D204" i="11"/>
  <c r="C204" i="11"/>
  <c r="E215" i="11" s="1"/>
  <c r="B204" i="11"/>
  <c r="D203" i="11"/>
  <c r="F214" i="11" s="1"/>
  <c r="H214" i="11" s="1"/>
  <c r="C203" i="11"/>
  <c r="B203" i="11"/>
  <c r="D202" i="11"/>
  <c r="C202" i="11"/>
  <c r="B202" i="11"/>
  <c r="D201" i="11"/>
  <c r="F212" i="11" s="1"/>
  <c r="C201" i="11"/>
  <c r="E212" i="11" s="1"/>
  <c r="G212" i="11" s="1"/>
  <c r="B201" i="11"/>
  <c r="D200" i="11"/>
  <c r="C200" i="11"/>
  <c r="E211" i="11" s="1"/>
  <c r="B200" i="11"/>
  <c r="F199" i="11"/>
  <c r="D199" i="11"/>
  <c r="F210" i="11" s="1"/>
  <c r="H210" i="11" s="1"/>
  <c r="C199" i="11"/>
  <c r="B199" i="11"/>
  <c r="D198" i="11"/>
  <c r="C198" i="11"/>
  <c r="B198" i="11"/>
  <c r="D197" i="11"/>
  <c r="F208" i="11" s="1"/>
  <c r="C197" i="11"/>
  <c r="E208" i="11" s="1"/>
  <c r="G208" i="11" s="1"/>
  <c r="B197" i="11"/>
  <c r="D196" i="11"/>
  <c r="C196" i="11"/>
  <c r="E207" i="11" s="1"/>
  <c r="B196" i="11"/>
  <c r="D195" i="11"/>
  <c r="F206" i="11" s="1"/>
  <c r="H206" i="11" s="1"/>
  <c r="C195" i="11"/>
  <c r="B195" i="11"/>
  <c r="A195" i="1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D194" i="11"/>
  <c r="F205" i="11" s="1"/>
  <c r="H205" i="11" s="1"/>
  <c r="C194" i="11"/>
  <c r="E205" i="11" s="1"/>
  <c r="G205" i="11" s="1"/>
  <c r="B194" i="11"/>
  <c r="D193" i="11"/>
  <c r="C193" i="11"/>
  <c r="E204" i="11" s="1"/>
  <c r="G204" i="11" s="1"/>
  <c r="B193" i="11"/>
  <c r="D192" i="11"/>
  <c r="F203" i="11" s="1"/>
  <c r="C192" i="11"/>
  <c r="B192" i="11"/>
  <c r="D191" i="11"/>
  <c r="F202" i="11" s="1"/>
  <c r="H202" i="11" s="1"/>
  <c r="C191" i="11"/>
  <c r="E202" i="11" s="1"/>
  <c r="B191" i="11"/>
  <c r="D190" i="11"/>
  <c r="C190" i="11"/>
  <c r="B190" i="11"/>
  <c r="D189" i="11"/>
  <c r="F200" i="11" s="1"/>
  <c r="C189" i="11"/>
  <c r="B189" i="11"/>
  <c r="D188" i="11"/>
  <c r="C188" i="11"/>
  <c r="B188" i="11"/>
  <c r="D187" i="11"/>
  <c r="F195" i="11" s="1"/>
  <c r="C187" i="11"/>
  <c r="B187" i="11"/>
  <c r="D186" i="11"/>
  <c r="C186" i="11"/>
  <c r="B186" i="11"/>
  <c r="E185" i="11"/>
  <c r="D185" i="11"/>
  <c r="C185" i="11"/>
  <c r="B185" i="11"/>
  <c r="D184" i="11"/>
  <c r="C184" i="11"/>
  <c r="B184" i="11"/>
  <c r="D183" i="11"/>
  <c r="C183" i="11"/>
  <c r="B183" i="11"/>
  <c r="D182" i="11"/>
  <c r="C182" i="11"/>
  <c r="B182" i="11"/>
  <c r="D181" i="11"/>
  <c r="F192" i="11" s="1"/>
  <c r="H192" i="11" s="1"/>
  <c r="C181" i="11"/>
  <c r="B181" i="11"/>
  <c r="D180" i="11"/>
  <c r="C180" i="11"/>
  <c r="B180" i="11"/>
  <c r="E179" i="11"/>
  <c r="D179" i="11"/>
  <c r="C179" i="11"/>
  <c r="B179" i="11"/>
  <c r="D178" i="11"/>
  <c r="C178" i="11"/>
  <c r="B178" i="11"/>
  <c r="E177" i="11"/>
  <c r="D177" i="11"/>
  <c r="C177" i="11"/>
  <c r="B177" i="11"/>
  <c r="D176" i="11"/>
  <c r="F187" i="11" s="1"/>
  <c r="H187" i="11" s="1"/>
  <c r="C176" i="11"/>
  <c r="B176" i="11"/>
  <c r="D175" i="11"/>
  <c r="C175" i="11"/>
  <c r="E186" i="11" s="1"/>
  <c r="B175" i="11"/>
  <c r="D174" i="11"/>
  <c r="C174" i="11"/>
  <c r="B174" i="11"/>
  <c r="D173" i="11"/>
  <c r="F184" i="11" s="1"/>
  <c r="C173" i="11"/>
  <c r="B173" i="11"/>
  <c r="E172" i="11"/>
  <c r="D172" i="11"/>
  <c r="C172" i="11"/>
  <c r="B172" i="11"/>
  <c r="D171" i="11"/>
  <c r="F182" i="11" s="1"/>
  <c r="C171" i="11"/>
  <c r="E182" i="11" s="1"/>
  <c r="B171" i="11"/>
  <c r="E170" i="11"/>
  <c r="D170" i="11"/>
  <c r="C170" i="11"/>
  <c r="B170" i="11"/>
  <c r="G170" i="11" s="1"/>
  <c r="D169" i="11"/>
  <c r="F180" i="11" s="1"/>
  <c r="C169" i="11"/>
  <c r="B169" i="11"/>
  <c r="E168" i="11"/>
  <c r="D168" i="11"/>
  <c r="C168" i="11"/>
  <c r="B168" i="11"/>
  <c r="D167" i="11"/>
  <c r="C167" i="11"/>
  <c r="E178" i="11" s="1"/>
  <c r="B167" i="11"/>
  <c r="D166" i="11"/>
  <c r="C166" i="11"/>
  <c r="B166" i="11"/>
  <c r="G166" i="11" s="1"/>
  <c r="E165" i="11"/>
  <c r="D165" i="11"/>
  <c r="C165" i="11"/>
  <c r="B165" i="11"/>
  <c r="E164" i="11"/>
  <c r="D164" i="11"/>
  <c r="F175" i="11" s="1"/>
  <c r="H175" i="11" s="1"/>
  <c r="C164" i="11"/>
  <c r="E175" i="11" s="1"/>
  <c r="B164" i="11"/>
  <c r="E163" i="11"/>
  <c r="G163" i="11" s="1"/>
  <c r="D163" i="11"/>
  <c r="F174" i="11" s="1"/>
  <c r="C163" i="11"/>
  <c r="E174" i="11" s="1"/>
  <c r="B163" i="11"/>
  <c r="E162" i="11"/>
  <c r="G162" i="11" s="1"/>
  <c r="D162" i="11"/>
  <c r="F173" i="11" s="1"/>
  <c r="H173" i="11" s="1"/>
  <c r="C162" i="11"/>
  <c r="E173" i="11" s="1"/>
  <c r="B162" i="11"/>
  <c r="E161" i="11"/>
  <c r="G161" i="11" s="1"/>
  <c r="D161" i="11"/>
  <c r="C161" i="11"/>
  <c r="B161" i="11"/>
  <c r="E160" i="11"/>
  <c r="G160" i="11" s="1"/>
  <c r="D160" i="11"/>
  <c r="C160" i="11"/>
  <c r="E171" i="11" s="1"/>
  <c r="B160" i="11"/>
  <c r="E159" i="11"/>
  <c r="G159" i="11" s="1"/>
  <c r="D159" i="11"/>
  <c r="C159" i="11"/>
  <c r="B159" i="11"/>
  <c r="E158" i="11"/>
  <c r="G158" i="11" s="1"/>
  <c r="D158" i="11"/>
  <c r="C158" i="11"/>
  <c r="E169" i="11" s="1"/>
  <c r="B158" i="11"/>
  <c r="E157" i="11"/>
  <c r="G157" i="11" s="1"/>
  <c r="D157" i="11"/>
  <c r="C157" i="11"/>
  <c r="B157" i="11"/>
  <c r="E156" i="11"/>
  <c r="G156" i="11" s="1"/>
  <c r="D156" i="11"/>
  <c r="C156" i="11"/>
  <c r="E167" i="11" s="1"/>
  <c r="B156" i="11"/>
  <c r="E155" i="11"/>
  <c r="G155" i="11" s="1"/>
  <c r="D155" i="11"/>
  <c r="C155" i="11"/>
  <c r="E166" i="11" s="1"/>
  <c r="B155" i="11"/>
  <c r="E154" i="11"/>
  <c r="G154" i="11" s="1"/>
  <c r="D154" i="11"/>
  <c r="C154" i="11"/>
  <c r="B154" i="11"/>
  <c r="E153" i="11"/>
  <c r="G153" i="11" s="1"/>
  <c r="D153" i="11"/>
  <c r="C153" i="11"/>
  <c r="B153" i="11"/>
  <c r="E152" i="11"/>
  <c r="G152" i="11" s="1"/>
  <c r="D152" i="11"/>
  <c r="C152" i="11"/>
  <c r="B152" i="11"/>
  <c r="E151" i="11"/>
  <c r="G151" i="11" s="1"/>
  <c r="D151" i="11"/>
  <c r="C151" i="11"/>
  <c r="B151" i="11"/>
  <c r="E150" i="11"/>
  <c r="G150" i="11" s="1"/>
  <c r="D150" i="11"/>
  <c r="C150" i="11"/>
  <c r="B150" i="11"/>
  <c r="E149" i="11"/>
  <c r="G149" i="11" s="1"/>
  <c r="D149" i="11"/>
  <c r="C149" i="11"/>
  <c r="B149" i="11"/>
  <c r="E148" i="11"/>
  <c r="G148" i="11" s="1"/>
  <c r="D148" i="11"/>
  <c r="C148" i="11"/>
  <c r="B148" i="11"/>
  <c r="E147" i="11"/>
  <c r="G147" i="11" s="1"/>
  <c r="D147" i="11"/>
  <c r="C147" i="11"/>
  <c r="B147" i="11"/>
  <c r="E146" i="11"/>
  <c r="G146" i="11" s="1"/>
  <c r="D146" i="11"/>
  <c r="C146" i="11"/>
  <c r="B146" i="11"/>
  <c r="E145" i="11"/>
  <c r="G145" i="11" s="1"/>
  <c r="D145" i="11"/>
  <c r="C145" i="11"/>
  <c r="B145" i="11"/>
  <c r="E144" i="11"/>
  <c r="G144" i="11" s="1"/>
  <c r="D144" i="11"/>
  <c r="C144" i="11"/>
  <c r="B144" i="11"/>
  <c r="E143" i="11"/>
  <c r="G143" i="11" s="1"/>
  <c r="D143" i="11"/>
  <c r="C143" i="11"/>
  <c r="B143" i="11"/>
  <c r="E142" i="11"/>
  <c r="G142" i="11" s="1"/>
  <c r="D142" i="11"/>
  <c r="C142" i="11"/>
  <c r="B142" i="11"/>
  <c r="E141" i="11"/>
  <c r="G141" i="11" s="1"/>
  <c r="D141" i="11"/>
  <c r="C141" i="11"/>
  <c r="B141" i="11"/>
  <c r="E140" i="11"/>
  <c r="G140" i="11" s="1"/>
  <c r="D140" i="11"/>
  <c r="C140" i="11"/>
  <c r="B140" i="11"/>
  <c r="E139" i="11"/>
  <c r="G139" i="11" s="1"/>
  <c r="D139" i="11"/>
  <c r="C139" i="11"/>
  <c r="B139" i="11"/>
  <c r="E138" i="11"/>
  <c r="G138" i="11" s="1"/>
  <c r="D138" i="11"/>
  <c r="F149" i="11" s="1"/>
  <c r="H149" i="11" s="1"/>
  <c r="C138" i="11"/>
  <c r="B138" i="11"/>
  <c r="E137" i="11"/>
  <c r="G137" i="11" s="1"/>
  <c r="D137" i="11"/>
  <c r="C137" i="11"/>
  <c r="B137" i="11"/>
  <c r="E136" i="11"/>
  <c r="G136" i="11" s="1"/>
  <c r="D136" i="11"/>
  <c r="C136" i="11"/>
  <c r="B136" i="11"/>
  <c r="E135" i="11"/>
  <c r="G135" i="11" s="1"/>
  <c r="D135" i="11"/>
  <c r="C135" i="11"/>
  <c r="B135" i="11"/>
  <c r="E134" i="11"/>
  <c r="G134" i="11" s="1"/>
  <c r="D134" i="11"/>
  <c r="C134" i="11"/>
  <c r="B134" i="11"/>
  <c r="E133" i="11"/>
  <c r="G133" i="11" s="1"/>
  <c r="D133" i="11"/>
  <c r="C133" i="11"/>
  <c r="B133" i="11"/>
  <c r="E132" i="11"/>
  <c r="G132" i="11" s="1"/>
  <c r="D132" i="11"/>
  <c r="C132" i="11"/>
  <c r="B132" i="11"/>
  <c r="E131" i="11"/>
  <c r="G131" i="11" s="1"/>
  <c r="D131" i="11"/>
  <c r="C131" i="11"/>
  <c r="B131" i="11"/>
  <c r="E130" i="11"/>
  <c r="G130" i="11" s="1"/>
  <c r="D130" i="11"/>
  <c r="F141" i="11" s="1"/>
  <c r="H141" i="11" s="1"/>
  <c r="C130" i="11"/>
  <c r="B130" i="11"/>
  <c r="D129" i="11"/>
  <c r="C129" i="11"/>
  <c r="B129" i="11"/>
  <c r="D128" i="11"/>
  <c r="C128" i="11"/>
  <c r="B128" i="1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E129" i="11" s="1"/>
  <c r="G129" i="11" s="1"/>
  <c r="B118" i="11"/>
  <c r="D117" i="11"/>
  <c r="C117" i="11"/>
  <c r="E128" i="11" s="1"/>
  <c r="G128" i="11" s="1"/>
  <c r="B117" i="11"/>
  <c r="G117" i="11" s="1"/>
  <c r="D116" i="11"/>
  <c r="C116" i="11"/>
  <c r="E127" i="11" s="1"/>
  <c r="G127" i="11" s="1"/>
  <c r="B116" i="11"/>
  <c r="G116" i="11" s="1"/>
  <c r="D115" i="11"/>
  <c r="C115" i="11"/>
  <c r="E126" i="11" s="1"/>
  <c r="G126" i="11" s="1"/>
  <c r="B115" i="11"/>
  <c r="G115" i="11" s="1"/>
  <c r="D114" i="11"/>
  <c r="C114" i="11"/>
  <c r="E125" i="11" s="1"/>
  <c r="G125" i="11" s="1"/>
  <c r="B114" i="11"/>
  <c r="G114" i="11" s="1"/>
  <c r="D113" i="11"/>
  <c r="C113" i="11"/>
  <c r="E124" i="11" s="1"/>
  <c r="G124" i="11" s="1"/>
  <c r="B113" i="11"/>
  <c r="G113" i="11" s="1"/>
  <c r="D112" i="11"/>
  <c r="C112" i="11"/>
  <c r="E123" i="11" s="1"/>
  <c r="G123" i="11" s="1"/>
  <c r="B112" i="11"/>
  <c r="G112" i="11" s="1"/>
  <c r="D111" i="11"/>
  <c r="C111" i="11"/>
  <c r="E122" i="11" s="1"/>
  <c r="G122" i="11" s="1"/>
  <c r="B111" i="11"/>
  <c r="G111" i="11" s="1"/>
  <c r="D110" i="11"/>
  <c r="F121" i="11" s="1"/>
  <c r="H121" i="11" s="1"/>
  <c r="C110" i="11"/>
  <c r="E121" i="11" s="1"/>
  <c r="G121" i="11" s="1"/>
  <c r="B110" i="11"/>
  <c r="G110" i="11" s="1"/>
  <c r="D109" i="11"/>
  <c r="F120" i="11" s="1"/>
  <c r="H120" i="11" s="1"/>
  <c r="C109" i="11"/>
  <c r="E120" i="11" s="1"/>
  <c r="G120" i="11" s="1"/>
  <c r="B109" i="11"/>
  <c r="G109" i="11" s="1"/>
  <c r="D108" i="11"/>
  <c r="F119" i="11" s="1"/>
  <c r="H119" i="11" s="1"/>
  <c r="C108" i="11"/>
  <c r="E119" i="11" s="1"/>
  <c r="G119" i="11" s="1"/>
  <c r="B108" i="11"/>
  <c r="D107" i="11"/>
  <c r="F118" i="11" s="1"/>
  <c r="C107" i="11"/>
  <c r="E118" i="11" s="1"/>
  <c r="B107" i="11"/>
  <c r="G107" i="11" s="1"/>
  <c r="D106" i="11"/>
  <c r="F117" i="11" s="1"/>
  <c r="H117" i="11" s="1"/>
  <c r="C106" i="11"/>
  <c r="E117" i="11" s="1"/>
  <c r="B106" i="11"/>
  <c r="G106" i="11" s="1"/>
  <c r="D105" i="11"/>
  <c r="F116" i="11" s="1"/>
  <c r="H116" i="11" s="1"/>
  <c r="C105" i="11"/>
  <c r="E116" i="11" s="1"/>
  <c r="B105" i="11"/>
  <c r="G105" i="11" s="1"/>
  <c r="D104" i="11"/>
  <c r="F115" i="11" s="1"/>
  <c r="H115" i="11" s="1"/>
  <c r="C104" i="11"/>
  <c r="E115" i="11" s="1"/>
  <c r="B104" i="11"/>
  <c r="D103" i="11"/>
  <c r="F114" i="11" s="1"/>
  <c r="H114" i="11" s="1"/>
  <c r="C103" i="11"/>
  <c r="E114" i="11" s="1"/>
  <c r="B103" i="11"/>
  <c r="G103" i="11" s="1"/>
  <c r="D102" i="11"/>
  <c r="F113" i="11" s="1"/>
  <c r="H113" i="11" s="1"/>
  <c r="C102" i="11"/>
  <c r="E113" i="11" s="1"/>
  <c r="B102" i="11"/>
  <c r="G102" i="11" s="1"/>
  <c r="D101" i="11"/>
  <c r="F112" i="11" s="1"/>
  <c r="H112" i="11" s="1"/>
  <c r="C101" i="11"/>
  <c r="E112" i="11" s="1"/>
  <c r="B101" i="11"/>
  <c r="G101" i="11" s="1"/>
  <c r="D100" i="11"/>
  <c r="F111" i="11" s="1"/>
  <c r="H111" i="11" s="1"/>
  <c r="C100" i="11"/>
  <c r="E111" i="11" s="1"/>
  <c r="B100" i="11"/>
  <c r="D99" i="11"/>
  <c r="F110" i="11" s="1"/>
  <c r="H110" i="11" s="1"/>
  <c r="C99" i="11"/>
  <c r="E110" i="11" s="1"/>
  <c r="B99" i="11"/>
  <c r="G99" i="11" s="1"/>
  <c r="D98" i="11"/>
  <c r="F109" i="11" s="1"/>
  <c r="H109" i="11" s="1"/>
  <c r="C98" i="11"/>
  <c r="E109" i="11" s="1"/>
  <c r="B98" i="11"/>
  <c r="D97" i="11"/>
  <c r="C97" i="11"/>
  <c r="E108" i="11" s="1"/>
  <c r="B97" i="11"/>
  <c r="D96" i="11"/>
  <c r="F107" i="11" s="1"/>
  <c r="H107" i="11" s="1"/>
  <c r="C96" i="11"/>
  <c r="E107" i="11" s="1"/>
  <c r="B96" i="11"/>
  <c r="D95" i="11"/>
  <c r="C95" i="11"/>
  <c r="E106" i="11" s="1"/>
  <c r="B95" i="11"/>
  <c r="G95" i="11" s="1"/>
  <c r="D94" i="11"/>
  <c r="C94" i="11"/>
  <c r="E105" i="11" s="1"/>
  <c r="B94" i="11"/>
  <c r="G94" i="11" s="1"/>
  <c r="D93" i="11"/>
  <c r="C93" i="11"/>
  <c r="E104" i="11" s="1"/>
  <c r="B93" i="11"/>
  <c r="D92" i="11"/>
  <c r="C92" i="11"/>
  <c r="E103" i="11" s="1"/>
  <c r="B92" i="11"/>
  <c r="F91" i="11"/>
  <c r="D91" i="11"/>
  <c r="C91" i="11"/>
  <c r="E102" i="11" s="1"/>
  <c r="B91" i="11"/>
  <c r="G91" i="11" s="1"/>
  <c r="H90" i="11"/>
  <c r="D90" i="11"/>
  <c r="C90" i="11"/>
  <c r="E101" i="11" s="1"/>
  <c r="B90" i="11"/>
  <c r="G90" i="11" s="1"/>
  <c r="D89" i="11"/>
  <c r="C89" i="11"/>
  <c r="E100" i="11" s="1"/>
  <c r="B89" i="11"/>
  <c r="D88" i="11"/>
  <c r="F99" i="11" s="1"/>
  <c r="H99" i="11" s="1"/>
  <c r="C88" i="11"/>
  <c r="E99" i="11" s="1"/>
  <c r="B88" i="11"/>
  <c r="D87" i="11"/>
  <c r="C87" i="11"/>
  <c r="E98" i="11" s="1"/>
  <c r="B87" i="11"/>
  <c r="G87" i="11" s="1"/>
  <c r="D86" i="11"/>
  <c r="F97" i="11" s="1"/>
  <c r="C86" i="11"/>
  <c r="E97" i="11" s="1"/>
  <c r="B86" i="11"/>
  <c r="G86" i="11" s="1"/>
  <c r="D85" i="11"/>
  <c r="C85" i="11"/>
  <c r="E96" i="11" s="1"/>
  <c r="B85" i="11"/>
  <c r="D84" i="11"/>
  <c r="F95" i="11" s="1"/>
  <c r="C84" i="11"/>
  <c r="E95" i="11" s="1"/>
  <c r="B84" i="11"/>
  <c r="F83" i="11"/>
  <c r="D83" i="11"/>
  <c r="C83" i="11"/>
  <c r="E94" i="11" s="1"/>
  <c r="B83" i="11"/>
  <c r="G83" i="11" s="1"/>
  <c r="H82" i="11"/>
  <c r="D82" i="11"/>
  <c r="C82" i="11"/>
  <c r="E93" i="11" s="1"/>
  <c r="B82" i="11"/>
  <c r="G82" i="11" s="1"/>
  <c r="D81" i="11"/>
  <c r="F92" i="11" s="1"/>
  <c r="C81" i="11"/>
  <c r="E92" i="11" s="1"/>
  <c r="B81" i="11"/>
  <c r="D80" i="11"/>
  <c r="C80" i="11"/>
  <c r="E91" i="11" s="1"/>
  <c r="B80" i="11"/>
  <c r="D79" i="11"/>
  <c r="F90" i="11" s="1"/>
  <c r="C79" i="11"/>
  <c r="E90" i="11" s="1"/>
  <c r="B79" i="11"/>
  <c r="G79" i="11" s="1"/>
  <c r="D78" i="11"/>
  <c r="F89" i="11" s="1"/>
  <c r="C78" i="11"/>
  <c r="E89" i="11" s="1"/>
  <c r="B78" i="11"/>
  <c r="G78" i="11" s="1"/>
  <c r="D77" i="11"/>
  <c r="C77" i="11"/>
  <c r="E88" i="11" s="1"/>
  <c r="B77" i="11"/>
  <c r="D76" i="11"/>
  <c r="F87" i="11" s="1"/>
  <c r="C76" i="11"/>
  <c r="E87" i="11" s="1"/>
  <c r="B76" i="11"/>
  <c r="F75" i="11"/>
  <c r="D75" i="11"/>
  <c r="C75" i="11"/>
  <c r="E86" i="11" s="1"/>
  <c r="B75" i="11"/>
  <c r="D74" i="11"/>
  <c r="C74" i="11"/>
  <c r="E85" i="11" s="1"/>
  <c r="B74" i="11"/>
  <c r="G74" i="11" s="1"/>
  <c r="D73" i="11"/>
  <c r="F84" i="11" s="1"/>
  <c r="C73" i="11"/>
  <c r="E84" i="11" s="1"/>
  <c r="B73" i="11"/>
  <c r="D72" i="11"/>
  <c r="C72" i="11"/>
  <c r="E83" i="11" s="1"/>
  <c r="B72" i="11"/>
  <c r="D71" i="11"/>
  <c r="F82" i="11" s="1"/>
  <c r="C71" i="11"/>
  <c r="E82" i="11" s="1"/>
  <c r="B71" i="11"/>
  <c r="D70" i="11"/>
  <c r="F81" i="11" s="1"/>
  <c r="C70" i="11"/>
  <c r="E81" i="11" s="1"/>
  <c r="B70" i="11"/>
  <c r="G70" i="11" s="1"/>
  <c r="D69" i="11"/>
  <c r="C69" i="11"/>
  <c r="E80" i="11" s="1"/>
  <c r="B69" i="11"/>
  <c r="D68" i="11"/>
  <c r="F79" i="11" s="1"/>
  <c r="C68" i="11"/>
  <c r="E79" i="11" s="1"/>
  <c r="B68" i="11"/>
  <c r="H67" i="11"/>
  <c r="D67" i="11"/>
  <c r="C67" i="11"/>
  <c r="E78" i="11" s="1"/>
  <c r="B67" i="11"/>
  <c r="F66" i="11"/>
  <c r="D66" i="11"/>
  <c r="C66" i="11"/>
  <c r="E77" i="11" s="1"/>
  <c r="B66" i="11"/>
  <c r="E65" i="11"/>
  <c r="D65" i="11"/>
  <c r="C65" i="11"/>
  <c r="E76" i="11" s="1"/>
  <c r="B65" i="11"/>
  <c r="D64" i="11"/>
  <c r="C64" i="11"/>
  <c r="E75" i="11" s="1"/>
  <c r="B64" i="11"/>
  <c r="H63" i="11"/>
  <c r="D63" i="11"/>
  <c r="C63" i="11"/>
  <c r="E74" i="11" s="1"/>
  <c r="B63" i="11"/>
  <c r="F62" i="11"/>
  <c r="D62" i="11"/>
  <c r="C62" i="11"/>
  <c r="E73" i="11" s="1"/>
  <c r="B62" i="11"/>
  <c r="E61" i="11"/>
  <c r="D61" i="11"/>
  <c r="C61" i="11"/>
  <c r="E72" i="11" s="1"/>
  <c r="B61" i="11"/>
  <c r="D60" i="11"/>
  <c r="F71" i="11" s="1"/>
  <c r="C60" i="11"/>
  <c r="E71" i="11" s="1"/>
  <c r="B60" i="11"/>
  <c r="H59" i="11"/>
  <c r="D59" i="11"/>
  <c r="F70" i="11" s="1"/>
  <c r="C59" i="11"/>
  <c r="E70" i="11" s="1"/>
  <c r="B59" i="11"/>
  <c r="G58" i="11"/>
  <c r="D58" i="11"/>
  <c r="F69" i="11" s="1"/>
  <c r="C58" i="11"/>
  <c r="E69" i="11" s="1"/>
  <c r="B58" i="11"/>
  <c r="G57" i="11"/>
  <c r="D57" i="11"/>
  <c r="F68" i="11" s="1"/>
  <c r="C57" i="11"/>
  <c r="E68" i="11" s="1"/>
  <c r="B57" i="11"/>
  <c r="G56" i="11"/>
  <c r="D56" i="11"/>
  <c r="F67" i="11" s="1"/>
  <c r="C56" i="11"/>
  <c r="E67" i="11" s="1"/>
  <c r="B56" i="11"/>
  <c r="H56" i="11" s="1"/>
  <c r="G55" i="11"/>
  <c r="D55" i="11"/>
  <c r="C55" i="11"/>
  <c r="E66" i="11" s="1"/>
  <c r="B55" i="11"/>
  <c r="H55" i="11" s="1"/>
  <c r="G54" i="11"/>
  <c r="D54" i="11"/>
  <c r="F65" i="11" s="1"/>
  <c r="H65" i="11" s="1"/>
  <c r="C54" i="11"/>
  <c r="B54" i="11"/>
  <c r="H54" i="11" s="1"/>
  <c r="G53" i="11"/>
  <c r="D53" i="11"/>
  <c r="F64" i="11" s="1"/>
  <c r="C53" i="11"/>
  <c r="E64" i="11" s="1"/>
  <c r="B53" i="11"/>
  <c r="H53" i="11" s="1"/>
  <c r="G52" i="11"/>
  <c r="D52" i="11"/>
  <c r="F63" i="11" s="1"/>
  <c r="C52" i="11"/>
  <c r="E63" i="11" s="1"/>
  <c r="B52" i="11"/>
  <c r="H52" i="11" s="1"/>
  <c r="G51" i="11"/>
  <c r="D51" i="11"/>
  <c r="C51" i="11"/>
  <c r="E62" i="11" s="1"/>
  <c r="B51" i="11"/>
  <c r="H51" i="11" s="1"/>
  <c r="G50" i="11"/>
  <c r="D50" i="11"/>
  <c r="F61" i="11" s="1"/>
  <c r="H61" i="11" s="1"/>
  <c r="C50" i="11"/>
  <c r="B50" i="11"/>
  <c r="H50" i="11" s="1"/>
  <c r="G49" i="11"/>
  <c r="D49" i="11"/>
  <c r="F60" i="11" s="1"/>
  <c r="C49" i="11"/>
  <c r="E60" i="11" s="1"/>
  <c r="B49" i="11"/>
  <c r="H49" i="11" s="1"/>
  <c r="G48" i="11"/>
  <c r="D48" i="11"/>
  <c r="F59" i="11" s="1"/>
  <c r="C48" i="11"/>
  <c r="E59" i="11" s="1"/>
  <c r="B48" i="11"/>
  <c r="H48" i="11" s="1"/>
  <c r="G47" i="11"/>
  <c r="D47" i="11"/>
  <c r="F58" i="11" s="1"/>
  <c r="H58" i="11" s="1"/>
  <c r="C47" i="11"/>
  <c r="E58" i="11" s="1"/>
  <c r="B47" i="11"/>
  <c r="H47" i="11" s="1"/>
  <c r="G46" i="11"/>
  <c r="D46" i="11"/>
  <c r="F57" i="11" s="1"/>
  <c r="H57" i="11" s="1"/>
  <c r="C46" i="11"/>
  <c r="E57" i="11" s="1"/>
  <c r="B46" i="11"/>
  <c r="H46" i="11" s="1"/>
  <c r="G45" i="11"/>
  <c r="D45" i="11"/>
  <c r="F56" i="11" s="1"/>
  <c r="C45" i="11"/>
  <c r="E56" i="11" s="1"/>
  <c r="B45" i="11"/>
  <c r="H45" i="11" s="1"/>
  <c r="G44" i="11"/>
  <c r="D44" i="11"/>
  <c r="F55" i="11" s="1"/>
  <c r="C44" i="11"/>
  <c r="E55" i="11" s="1"/>
  <c r="B44" i="11"/>
  <c r="H44" i="11" s="1"/>
  <c r="G43" i="11"/>
  <c r="D43" i="11"/>
  <c r="F54" i="11" s="1"/>
  <c r="C43" i="11"/>
  <c r="E54" i="11" s="1"/>
  <c r="B43" i="11"/>
  <c r="H43" i="11" s="1"/>
  <c r="G42" i="11"/>
  <c r="D42" i="11"/>
  <c r="F53" i="11" s="1"/>
  <c r="C42" i="11"/>
  <c r="E53" i="11" s="1"/>
  <c r="B42" i="11"/>
  <c r="H42" i="11" s="1"/>
  <c r="G41" i="11"/>
  <c r="D41" i="11"/>
  <c r="F52" i="11" s="1"/>
  <c r="C41" i="11"/>
  <c r="E52" i="11" s="1"/>
  <c r="B41" i="11"/>
  <c r="H41" i="11" s="1"/>
  <c r="G40" i="11"/>
  <c r="D40" i="11"/>
  <c r="F51" i="11" s="1"/>
  <c r="C40" i="11"/>
  <c r="E51" i="11" s="1"/>
  <c r="B40" i="11"/>
  <c r="H40" i="11" s="1"/>
  <c r="G39" i="11"/>
  <c r="D39" i="11"/>
  <c r="F50" i="11" s="1"/>
  <c r="C39" i="11"/>
  <c r="E50" i="11" s="1"/>
  <c r="B39" i="11"/>
  <c r="H39" i="11" s="1"/>
  <c r="G38" i="11"/>
  <c r="D38" i="11"/>
  <c r="F49" i="11" s="1"/>
  <c r="C38" i="11"/>
  <c r="E49" i="11" s="1"/>
  <c r="B38" i="11"/>
  <c r="H38" i="11" s="1"/>
  <c r="G37" i="11"/>
  <c r="D37" i="11"/>
  <c r="F48" i="11" s="1"/>
  <c r="C37" i="11"/>
  <c r="E48" i="11" s="1"/>
  <c r="B37" i="11"/>
  <c r="H37" i="11" s="1"/>
  <c r="G36" i="11"/>
  <c r="D36" i="11"/>
  <c r="F47" i="11" s="1"/>
  <c r="C36" i="11"/>
  <c r="E47" i="11" s="1"/>
  <c r="B36" i="11"/>
  <c r="H36" i="11" s="1"/>
  <c r="G35" i="11"/>
  <c r="D35" i="11"/>
  <c r="F46" i="11" s="1"/>
  <c r="C35" i="11"/>
  <c r="E46" i="11" s="1"/>
  <c r="B35" i="11"/>
  <c r="H35" i="11" s="1"/>
  <c r="G34" i="11"/>
  <c r="D34" i="11"/>
  <c r="F45" i="11" s="1"/>
  <c r="C34" i="11"/>
  <c r="E45" i="11" s="1"/>
  <c r="B34" i="11"/>
  <c r="H34" i="11" s="1"/>
  <c r="D33" i="11"/>
  <c r="F44" i="11" s="1"/>
  <c r="C33" i="11"/>
  <c r="E44" i="11" s="1"/>
  <c r="B33" i="11"/>
  <c r="D32" i="11"/>
  <c r="F43" i="11" s="1"/>
  <c r="C32" i="11"/>
  <c r="E43" i="11" s="1"/>
  <c r="B32" i="11"/>
  <c r="D31" i="11"/>
  <c r="F42" i="11" s="1"/>
  <c r="C31" i="11"/>
  <c r="E42" i="11" s="1"/>
  <c r="B31" i="11"/>
  <c r="D30" i="11"/>
  <c r="F41" i="11" s="1"/>
  <c r="C30" i="11"/>
  <c r="E41" i="11" s="1"/>
  <c r="B30" i="11"/>
  <c r="D29" i="11"/>
  <c r="F40" i="11" s="1"/>
  <c r="C29" i="11"/>
  <c r="E40" i="11" s="1"/>
  <c r="B29" i="11"/>
  <c r="D28" i="11"/>
  <c r="F39" i="11" s="1"/>
  <c r="C28" i="11"/>
  <c r="E39" i="11" s="1"/>
  <c r="B28" i="11"/>
  <c r="D27" i="11"/>
  <c r="F38" i="11" s="1"/>
  <c r="C27" i="11"/>
  <c r="E38" i="11" s="1"/>
  <c r="B27" i="11"/>
  <c r="D26" i="11"/>
  <c r="F37" i="11" s="1"/>
  <c r="C26" i="11"/>
  <c r="E37" i="11" s="1"/>
  <c r="B26" i="11"/>
  <c r="D25" i="11"/>
  <c r="F36" i="11" s="1"/>
  <c r="C25" i="11"/>
  <c r="E36" i="11" s="1"/>
  <c r="B25" i="11"/>
  <c r="D24" i="11"/>
  <c r="F35" i="11" s="1"/>
  <c r="C24" i="11"/>
  <c r="E35" i="11" s="1"/>
  <c r="B24" i="11"/>
  <c r="D23" i="11"/>
  <c r="F34" i="11" s="1"/>
  <c r="C23" i="11"/>
  <c r="E34" i="11" s="1"/>
  <c r="B23" i="11"/>
  <c r="D22" i="11"/>
  <c r="F33" i="11" s="1"/>
  <c r="C22" i="11"/>
  <c r="E33" i="11" s="1"/>
  <c r="G33" i="11" s="1"/>
  <c r="B22" i="11"/>
  <c r="D21" i="11"/>
  <c r="F32" i="11" s="1"/>
  <c r="C21" i="11"/>
  <c r="B21" i="11"/>
  <c r="D20" i="11"/>
  <c r="C20" i="11"/>
  <c r="B20" i="11"/>
  <c r="D19" i="11"/>
  <c r="C19" i="11"/>
  <c r="B19" i="11"/>
  <c r="D18" i="11"/>
  <c r="C18" i="11"/>
  <c r="E29" i="11" s="1"/>
  <c r="G29" i="11" s="1"/>
  <c r="B18" i="11"/>
  <c r="D17" i="11"/>
  <c r="F28" i="11" s="1"/>
  <c r="C17" i="11"/>
  <c r="B17" i="11"/>
  <c r="D16" i="11"/>
  <c r="C16" i="11"/>
  <c r="B16" i="11"/>
  <c r="H15" i="11"/>
  <c r="D15" i="11"/>
  <c r="C15" i="11"/>
  <c r="B15" i="11"/>
  <c r="D14" i="11"/>
  <c r="C14" i="11"/>
  <c r="E25" i="11" s="1"/>
  <c r="G25" i="11" s="1"/>
  <c r="B14" i="11"/>
  <c r="F13" i="11"/>
  <c r="D13" i="11"/>
  <c r="C13" i="11"/>
  <c r="B13" i="11"/>
  <c r="H13" i="11" s="1"/>
  <c r="D12" i="11"/>
  <c r="C12" i="11"/>
  <c r="E23" i="11" s="1"/>
  <c r="G23" i="11" s="1"/>
  <c r="B12" i="11"/>
  <c r="F11" i="11"/>
  <c r="D11" i="11"/>
  <c r="C11" i="11"/>
  <c r="B11" i="11"/>
  <c r="D10" i="11"/>
  <c r="C10" i="11"/>
  <c r="E21" i="11" s="1"/>
  <c r="G21" i="11" s="1"/>
  <c r="B10" i="11"/>
  <c r="F9" i="11"/>
  <c r="D9" i="11"/>
  <c r="C9" i="11"/>
  <c r="B9" i="11"/>
  <c r="H9" i="11" s="1"/>
  <c r="D8" i="11"/>
  <c r="C8" i="11"/>
  <c r="E19" i="11" s="1"/>
  <c r="G19" i="11" s="1"/>
  <c r="B8" i="11"/>
  <c r="D7" i="11"/>
  <c r="C7" i="11"/>
  <c r="E18" i="11" s="1"/>
  <c r="G18" i="11" s="1"/>
  <c r="B7" i="11"/>
  <c r="D6" i="11"/>
  <c r="C6" i="11"/>
  <c r="E17" i="11" s="1"/>
  <c r="G17" i="11" s="1"/>
  <c r="B6" i="11"/>
  <c r="D5" i="11"/>
  <c r="F16" i="11" s="1"/>
  <c r="H16" i="11" s="1"/>
  <c r="C5" i="11"/>
  <c r="E16" i="11" s="1"/>
  <c r="G16" i="11" s="1"/>
  <c r="B5" i="11"/>
  <c r="D4" i="11"/>
  <c r="F15" i="11" s="1"/>
  <c r="C4" i="11"/>
  <c r="E15" i="11" s="1"/>
  <c r="G15" i="11" s="1"/>
  <c r="B4" i="11"/>
  <c r="D3" i="11"/>
  <c r="F14" i="11" s="1"/>
  <c r="H14" i="11" s="1"/>
  <c r="C3" i="11"/>
  <c r="E7" i="11" s="1"/>
  <c r="G7" i="11" s="1"/>
  <c r="B3" i="11"/>
  <c r="A1" i="11"/>
  <c r="G11" i="11" l="1"/>
  <c r="G10" i="11"/>
  <c r="F18" i="11"/>
  <c r="H18" i="11" s="1"/>
  <c r="G9" i="11"/>
  <c r="F23" i="11"/>
  <c r="H23" i="11" s="1"/>
  <c r="E26" i="11"/>
  <c r="G26" i="11" s="1"/>
  <c r="E30" i="11"/>
  <c r="G30" i="11" s="1"/>
  <c r="H28" i="11"/>
  <c r="H30" i="11"/>
  <c r="H32" i="11"/>
  <c r="G62" i="11"/>
  <c r="H62" i="11"/>
  <c r="G66" i="11"/>
  <c r="H66" i="11"/>
  <c r="G98" i="11"/>
  <c r="H174" i="11"/>
  <c r="G174" i="11"/>
  <c r="E3" i="11"/>
  <c r="G3" i="11" s="1"/>
  <c r="E4" i="11"/>
  <c r="G4" i="11" s="1"/>
  <c r="E5" i="11"/>
  <c r="G5" i="11" s="1"/>
  <c r="E6" i="11"/>
  <c r="G6" i="11" s="1"/>
  <c r="F8" i="11"/>
  <c r="H8" i="11" s="1"/>
  <c r="E20" i="11"/>
  <c r="G20" i="11" s="1"/>
  <c r="F10" i="11"/>
  <c r="H10" i="11" s="1"/>
  <c r="E22" i="11"/>
  <c r="G22" i="11" s="1"/>
  <c r="H11" i="11"/>
  <c r="F12" i="11"/>
  <c r="H12" i="11" s="1"/>
  <c r="E24" i="11"/>
  <c r="G24" i="11" s="1"/>
  <c r="F26" i="11"/>
  <c r="H26" i="11" s="1"/>
  <c r="E27" i="11"/>
  <c r="G27" i="11" s="1"/>
  <c r="F30" i="11"/>
  <c r="E31" i="11"/>
  <c r="G31" i="11" s="1"/>
  <c r="F80" i="11"/>
  <c r="H80" i="11" s="1"/>
  <c r="H70" i="11"/>
  <c r="F88" i="11"/>
  <c r="F96" i="11"/>
  <c r="H96" i="11" s="1"/>
  <c r="F157" i="11"/>
  <c r="H157" i="11" s="1"/>
  <c r="E14" i="11"/>
  <c r="G14" i="11" s="1"/>
  <c r="E13" i="11"/>
  <c r="G13" i="11" s="1"/>
  <c r="K13" i="11" s="1"/>
  <c r="E12" i="11"/>
  <c r="G12" i="11" s="1"/>
  <c r="K12" i="11" s="1"/>
  <c r="E11" i="11"/>
  <c r="E10" i="11"/>
  <c r="E9" i="11"/>
  <c r="E8" i="11"/>
  <c r="G8" i="11" s="1"/>
  <c r="K8" i="11" s="1"/>
  <c r="F17" i="11"/>
  <c r="H17" i="11" s="1"/>
  <c r="F19" i="11"/>
  <c r="H19" i="11" s="1"/>
  <c r="F21" i="11"/>
  <c r="H21" i="11" s="1"/>
  <c r="F25" i="11"/>
  <c r="F29" i="11"/>
  <c r="H24" i="11"/>
  <c r="H25" i="11"/>
  <c r="H29" i="11"/>
  <c r="H33" i="11"/>
  <c r="F3" i="11"/>
  <c r="H3" i="11" s="1"/>
  <c r="F4" i="11"/>
  <c r="H4" i="11" s="1"/>
  <c r="F5" i="11"/>
  <c r="H5" i="11" s="1"/>
  <c r="F6" i="11"/>
  <c r="H6" i="11" s="1"/>
  <c r="F7" i="11"/>
  <c r="H7" i="11" s="1"/>
  <c r="F20" i="11"/>
  <c r="H20" i="11" s="1"/>
  <c r="F22" i="11"/>
  <c r="H22" i="11" s="1"/>
  <c r="F24" i="11"/>
  <c r="F27" i="11"/>
  <c r="H27" i="11" s="1"/>
  <c r="E28" i="11"/>
  <c r="G28" i="11" s="1"/>
  <c r="F31" i="11"/>
  <c r="H31" i="11" s="1"/>
  <c r="E32" i="11"/>
  <c r="G32" i="11" s="1"/>
  <c r="F72" i="11"/>
  <c r="F73" i="11"/>
  <c r="F74" i="11"/>
  <c r="H74" i="11" s="1"/>
  <c r="F76" i="11"/>
  <c r="F77" i="11"/>
  <c r="F78" i="11"/>
  <c r="H78" i="11" s="1"/>
  <c r="K70" i="11"/>
  <c r="F85" i="11"/>
  <c r="F86" i="11"/>
  <c r="H86" i="11" s="1"/>
  <c r="F93" i="11"/>
  <c r="H93" i="11" s="1"/>
  <c r="F94" i="11"/>
  <c r="H94" i="11" s="1"/>
  <c r="F103" i="11"/>
  <c r="H103" i="11" s="1"/>
  <c r="K94" i="11"/>
  <c r="G100" i="11"/>
  <c r="G104" i="11"/>
  <c r="G108" i="11"/>
  <c r="K112" i="11"/>
  <c r="F133" i="11"/>
  <c r="H133" i="11" s="1"/>
  <c r="F165" i="11"/>
  <c r="F166" i="11"/>
  <c r="G60" i="11"/>
  <c r="G64" i="11"/>
  <c r="G68" i="11"/>
  <c r="K68" i="11" s="1"/>
  <c r="H68" i="11"/>
  <c r="G72" i="11"/>
  <c r="H72" i="11"/>
  <c r="G76" i="11"/>
  <c r="K76" i="11" s="1"/>
  <c r="H76" i="11"/>
  <c r="G80" i="11"/>
  <c r="G84" i="11"/>
  <c r="K84" i="11" s="1"/>
  <c r="H84" i="11"/>
  <c r="G88" i="11"/>
  <c r="H88" i="11"/>
  <c r="F101" i="11"/>
  <c r="H101" i="11" s="1"/>
  <c r="G92" i="11"/>
  <c r="H92" i="11"/>
  <c r="F105" i="11"/>
  <c r="H105" i="11" s="1"/>
  <c r="G96" i="11"/>
  <c r="K96" i="11" s="1"/>
  <c r="F122" i="11"/>
  <c r="H122" i="11" s="1"/>
  <c r="F123" i="11"/>
  <c r="H123" i="11" s="1"/>
  <c r="F124" i="11"/>
  <c r="H124" i="11" s="1"/>
  <c r="F125" i="11"/>
  <c r="H125" i="11" s="1"/>
  <c r="F126" i="11"/>
  <c r="H126" i="11" s="1"/>
  <c r="F127" i="11"/>
  <c r="H127" i="11" s="1"/>
  <c r="F128" i="11"/>
  <c r="H128" i="11" s="1"/>
  <c r="F129" i="11"/>
  <c r="H129" i="11" s="1"/>
  <c r="F137" i="11"/>
  <c r="H137" i="11" s="1"/>
  <c r="F145" i="11"/>
  <c r="H145" i="11" s="1"/>
  <c r="F153" i="11"/>
  <c r="H153" i="11" s="1"/>
  <c r="F161" i="11"/>
  <c r="H161" i="11" s="1"/>
  <c r="F169" i="11"/>
  <c r="H169" i="11" s="1"/>
  <c r="H166" i="11"/>
  <c r="E194" i="11"/>
  <c r="G194" i="11" s="1"/>
  <c r="K194" i="11" s="1"/>
  <c r="G59" i="11"/>
  <c r="H60" i="11"/>
  <c r="G63" i="11"/>
  <c r="H64" i="11"/>
  <c r="G67" i="11"/>
  <c r="G69" i="11"/>
  <c r="H69" i="11"/>
  <c r="G73" i="11"/>
  <c r="K73" i="11" s="1"/>
  <c r="H73" i="11"/>
  <c r="G77" i="11"/>
  <c r="H77" i="11"/>
  <c r="G81" i="11"/>
  <c r="K81" i="11" s="1"/>
  <c r="H81" i="11"/>
  <c r="G85" i="11"/>
  <c r="H85" i="11"/>
  <c r="F98" i="11"/>
  <c r="H98" i="11" s="1"/>
  <c r="G89" i="11"/>
  <c r="H89" i="11"/>
  <c r="F102" i="11"/>
  <c r="H102" i="11" s="1"/>
  <c r="G93" i="11"/>
  <c r="K93" i="11" s="1"/>
  <c r="F106" i="11"/>
  <c r="H106" i="11" s="1"/>
  <c r="G97" i="11"/>
  <c r="H97" i="11"/>
  <c r="F135" i="11"/>
  <c r="H135" i="11" s="1"/>
  <c r="F147" i="11"/>
  <c r="H147" i="11" s="1"/>
  <c r="K143" i="11"/>
  <c r="F155" i="11"/>
  <c r="H155" i="11" s="1"/>
  <c r="F163" i="11"/>
  <c r="H163" i="11" s="1"/>
  <c r="K159" i="11"/>
  <c r="F171" i="11"/>
  <c r="H171" i="11" s="1"/>
  <c r="E199" i="11"/>
  <c r="E198" i="11"/>
  <c r="G198" i="11" s="1"/>
  <c r="K198" i="11" s="1"/>
  <c r="G61" i="11"/>
  <c r="K61" i="11" s="1"/>
  <c r="G65" i="11"/>
  <c r="G71" i="11"/>
  <c r="H71" i="11"/>
  <c r="G75" i="11"/>
  <c r="K75" i="11" s="1"/>
  <c r="H75" i="11"/>
  <c r="H79" i="11"/>
  <c r="K83" i="11"/>
  <c r="H83" i="11"/>
  <c r="H87" i="11"/>
  <c r="F100" i="11"/>
  <c r="H100" i="11" s="1"/>
  <c r="H91" i="11"/>
  <c r="F104" i="11"/>
  <c r="H104" i="11" s="1"/>
  <c r="K95" i="11"/>
  <c r="H95" i="11"/>
  <c r="F108" i="11"/>
  <c r="H108" i="11" s="1"/>
  <c r="K120" i="11"/>
  <c r="K124" i="11"/>
  <c r="K128" i="11"/>
  <c r="F131" i="11"/>
  <c r="H131" i="11" s="1"/>
  <c r="F139" i="11"/>
  <c r="H139" i="11" s="1"/>
  <c r="K131" i="11"/>
  <c r="F143" i="11"/>
  <c r="H143" i="11" s="1"/>
  <c r="F151" i="11"/>
  <c r="H151" i="11" s="1"/>
  <c r="K147" i="11"/>
  <c r="F159" i="11"/>
  <c r="H159" i="11" s="1"/>
  <c r="F167" i="11"/>
  <c r="K163" i="11"/>
  <c r="G118" i="11"/>
  <c r="H118" i="11"/>
  <c r="F130" i="11"/>
  <c r="H130" i="11" s="1"/>
  <c r="F132" i="11"/>
  <c r="H132" i="11" s="1"/>
  <c r="F134" i="11"/>
  <c r="H134" i="11" s="1"/>
  <c r="F136" i="11"/>
  <c r="H136" i="11" s="1"/>
  <c r="F138" i="11"/>
  <c r="H138" i="11" s="1"/>
  <c r="F140" i="11"/>
  <c r="H140" i="11" s="1"/>
  <c r="F142" i="11"/>
  <c r="H142" i="11" s="1"/>
  <c r="F144" i="11"/>
  <c r="H144" i="11" s="1"/>
  <c r="F146" i="11"/>
  <c r="H146" i="11" s="1"/>
  <c r="F148" i="11"/>
  <c r="H148" i="11" s="1"/>
  <c r="F150" i="11"/>
  <c r="H150" i="11" s="1"/>
  <c r="F152" i="11"/>
  <c r="H152" i="11" s="1"/>
  <c r="F154" i="11"/>
  <c r="H154" i="11" s="1"/>
  <c r="F156" i="11"/>
  <c r="H156" i="11" s="1"/>
  <c r="F158" i="11"/>
  <c r="H158" i="11" s="1"/>
  <c r="F160" i="11"/>
  <c r="H160" i="11" s="1"/>
  <c r="F162" i="11"/>
  <c r="H162" i="11" s="1"/>
  <c r="F164" i="11"/>
  <c r="H164" i="11" s="1"/>
  <c r="F168" i="11"/>
  <c r="H168" i="11" s="1"/>
  <c r="F170" i="11"/>
  <c r="H170" i="11" s="1"/>
  <c r="F172" i="11"/>
  <c r="H172" i="11" s="1"/>
  <c r="K170" i="11"/>
  <c r="F189" i="11"/>
  <c r="H189" i="11" s="1"/>
  <c r="E191" i="11"/>
  <c r="H182" i="11"/>
  <c r="G182" i="11"/>
  <c r="K182" i="11" s="1"/>
  <c r="E187" i="11"/>
  <c r="G165" i="11"/>
  <c r="H165" i="11"/>
  <c r="F178" i="11"/>
  <c r="E180" i="11"/>
  <c r="G180" i="11" s="1"/>
  <c r="G172" i="11"/>
  <c r="F186" i="11"/>
  <c r="H186" i="11" s="1"/>
  <c r="E183" i="11"/>
  <c r="G177" i="11"/>
  <c r="F190" i="11"/>
  <c r="H190" i="11" s="1"/>
  <c r="G183" i="11"/>
  <c r="K183" i="11" s="1"/>
  <c r="E197" i="11"/>
  <c r="G197" i="11" s="1"/>
  <c r="G202" i="11"/>
  <c r="K202" i="11" s="1"/>
  <c r="G222" i="11"/>
  <c r="K222" i="11" s="1"/>
  <c r="G168" i="11"/>
  <c r="E184" i="11"/>
  <c r="E181" i="11"/>
  <c r="G181" i="11" s="1"/>
  <c r="K181" i="11" s="1"/>
  <c r="G175" i="11"/>
  <c r="F176" i="11"/>
  <c r="F188" i="11"/>
  <c r="H188" i="11" s="1"/>
  <c r="E189" i="11"/>
  <c r="G189" i="11" s="1"/>
  <c r="K189" i="11" s="1"/>
  <c r="H180" i="11"/>
  <c r="G185" i="11"/>
  <c r="F198" i="11"/>
  <c r="H198" i="11" s="1"/>
  <c r="K204" i="11"/>
  <c r="K224" i="11"/>
  <c r="G226" i="11"/>
  <c r="G164" i="11"/>
  <c r="K164" i="11" s="1"/>
  <c r="E176" i="11"/>
  <c r="F177" i="11"/>
  <c r="H177" i="11" s="1"/>
  <c r="H176" i="11"/>
  <c r="G176" i="11"/>
  <c r="K176" i="11" s="1"/>
  <c r="E188" i="11"/>
  <c r="G188" i="11" s="1"/>
  <c r="G179" i="11"/>
  <c r="F191" i="11"/>
  <c r="E193" i="11"/>
  <c r="G193" i="11" s="1"/>
  <c r="K193" i="11" s="1"/>
  <c r="F194" i="11"/>
  <c r="H194" i="11" s="1"/>
  <c r="H184" i="11"/>
  <c r="G184" i="11"/>
  <c r="G187" i="11"/>
  <c r="K187" i="11" s="1"/>
  <c r="E201" i="11"/>
  <c r="G201" i="11" s="1"/>
  <c r="E192" i="11"/>
  <c r="G167" i="11"/>
  <c r="H167" i="11"/>
  <c r="F179" i="11"/>
  <c r="H179" i="11" s="1"/>
  <c r="G169" i="11"/>
  <c r="F181" i="11"/>
  <c r="H181" i="11" s="1"/>
  <c r="G171" i="11"/>
  <c r="K171" i="11" s="1"/>
  <c r="F183" i="11"/>
  <c r="H183" i="11" s="1"/>
  <c r="G173" i="11"/>
  <c r="F185" i="11"/>
  <c r="H185" i="11" s="1"/>
  <c r="H178" i="11"/>
  <c r="G178" i="11"/>
  <c r="E190" i="11"/>
  <c r="G190" i="11" s="1"/>
  <c r="K190" i="11" s="1"/>
  <c r="F193" i="11"/>
  <c r="H193" i="11" s="1"/>
  <c r="E195" i="11"/>
  <c r="F196" i="11"/>
  <c r="G186" i="11"/>
  <c r="K186" i="11" s="1"/>
  <c r="E214" i="11"/>
  <c r="G214" i="11" s="1"/>
  <c r="K214" i="11" s="1"/>
  <c r="E218" i="11"/>
  <c r="G218" i="11" s="1"/>
  <c r="K218" i="11" s="1"/>
  <c r="E222" i="11"/>
  <c r="E226" i="11"/>
  <c r="E230" i="11"/>
  <c r="G230" i="11" s="1"/>
  <c r="K230" i="11" s="1"/>
  <c r="F197" i="11"/>
  <c r="H197" i="11" s="1"/>
  <c r="F201" i="11"/>
  <c r="H201" i="11" s="1"/>
  <c r="G192" i="11"/>
  <c r="F204" i="11"/>
  <c r="H195" i="11"/>
  <c r="G195" i="11"/>
  <c r="E209" i="11"/>
  <c r="G209" i="11" s="1"/>
  <c r="H199" i="11"/>
  <c r="G199" i="11"/>
  <c r="K199" i="11" s="1"/>
  <c r="E213" i="11"/>
  <c r="G213" i="11" s="1"/>
  <c r="H203" i="11"/>
  <c r="G203" i="11"/>
  <c r="E217" i="11"/>
  <c r="G217" i="11" s="1"/>
  <c r="K217" i="11" s="1"/>
  <c r="H207" i="11"/>
  <c r="G207" i="11"/>
  <c r="E221" i="11"/>
  <c r="G221" i="11" s="1"/>
  <c r="K221" i="11" s="1"/>
  <c r="H211" i="11"/>
  <c r="G211" i="11"/>
  <c r="E225" i="11"/>
  <c r="G225" i="11" s="1"/>
  <c r="H215" i="11"/>
  <c r="G215" i="11"/>
  <c r="K215" i="11" s="1"/>
  <c r="E229" i="11"/>
  <c r="G229" i="11" s="1"/>
  <c r="H219" i="11"/>
  <c r="G219" i="11"/>
  <c r="K219" i="11" s="1"/>
  <c r="H223" i="11"/>
  <c r="G223" i="11"/>
  <c r="H227" i="11"/>
  <c r="G227" i="11"/>
  <c r="K227" i="11" s="1"/>
  <c r="H231" i="11"/>
  <c r="G231" i="11"/>
  <c r="K7" i="11" s="1"/>
  <c r="E196" i="11"/>
  <c r="G196" i="11" s="1"/>
  <c r="E200" i="11"/>
  <c r="G200" i="11" s="1"/>
  <c r="K200" i="11" s="1"/>
  <c r="H191" i="11"/>
  <c r="G191" i="11"/>
  <c r="K191" i="11" s="1"/>
  <c r="E203" i="11"/>
  <c r="H196" i="11"/>
  <c r="F209" i="11"/>
  <c r="H209" i="11" s="1"/>
  <c r="H200" i="11"/>
  <c r="F213" i="11"/>
  <c r="H213" i="11" s="1"/>
  <c r="H204" i="11"/>
  <c r="F217" i="11"/>
  <c r="H217" i="11" s="1"/>
  <c r="H208" i="11"/>
  <c r="H212" i="11"/>
  <c r="H216" i="11"/>
  <c r="H220" i="11"/>
  <c r="H224" i="11"/>
  <c r="H228" i="11"/>
  <c r="H232" i="11"/>
  <c r="J204" i="11" l="1"/>
  <c r="J232" i="11"/>
  <c r="J191" i="11"/>
  <c r="J186" i="11"/>
  <c r="J184" i="11"/>
  <c r="J177" i="11"/>
  <c r="J185" i="11"/>
  <c r="J199" i="11"/>
  <c r="J215" i="11"/>
  <c r="J231" i="11"/>
  <c r="J198" i="11"/>
  <c r="J214" i="11"/>
  <c r="J230" i="11"/>
  <c r="J209" i="11"/>
  <c r="J225" i="11"/>
  <c r="J220" i="11"/>
  <c r="K115" i="11"/>
  <c r="K58" i="11"/>
  <c r="K50" i="11"/>
  <c r="K41" i="11"/>
  <c r="K137" i="11"/>
  <c r="K105" i="11"/>
  <c r="K22" i="11"/>
  <c r="K6" i="11"/>
  <c r="K174" i="11"/>
  <c r="K110" i="11"/>
  <c r="K98" i="11"/>
  <c r="K30" i="11"/>
  <c r="K9" i="11"/>
  <c r="K57" i="11"/>
  <c r="K49" i="11"/>
  <c r="K42" i="11"/>
  <c r="K35" i="11"/>
  <c r="K15" i="11"/>
  <c r="K10" i="11"/>
  <c r="K11" i="11"/>
  <c r="K203" i="11"/>
  <c r="K167" i="11"/>
  <c r="K184" i="11"/>
  <c r="K226" i="11"/>
  <c r="K206" i="11"/>
  <c r="K228" i="11"/>
  <c r="K208" i="11"/>
  <c r="K172" i="11"/>
  <c r="K165" i="11"/>
  <c r="K127" i="11"/>
  <c r="K123" i="11"/>
  <c r="K119" i="11"/>
  <c r="K210" i="11"/>
  <c r="K97" i="11"/>
  <c r="K63" i="11"/>
  <c r="K149" i="11"/>
  <c r="K133" i="11"/>
  <c r="K64" i="11"/>
  <c r="K145" i="11"/>
  <c r="K108" i="11"/>
  <c r="K78" i="11"/>
  <c r="K28" i="11"/>
  <c r="J178" i="11"/>
  <c r="J174" i="11"/>
  <c r="J193" i="11"/>
  <c r="J179" i="11"/>
  <c r="J187" i="11"/>
  <c r="J203" i="11"/>
  <c r="J219" i="11"/>
  <c r="J190" i="11"/>
  <c r="J202" i="11"/>
  <c r="J218" i="11"/>
  <c r="J197" i="11"/>
  <c r="J213" i="11"/>
  <c r="J229" i="11"/>
  <c r="J208" i="11"/>
  <c r="J224" i="11"/>
  <c r="K111" i="11"/>
  <c r="K56" i="11"/>
  <c r="K48" i="11"/>
  <c r="K39" i="11"/>
  <c r="K117" i="11"/>
  <c r="K101" i="11"/>
  <c r="K31" i="11"/>
  <c r="K24" i="11"/>
  <c r="K5" i="11"/>
  <c r="K106" i="11"/>
  <c r="K90" i="11"/>
  <c r="K66" i="11"/>
  <c r="K26" i="11"/>
  <c r="K55" i="11"/>
  <c r="K47" i="11"/>
  <c r="K40" i="11"/>
  <c r="K21" i="11"/>
  <c r="K33" i="11"/>
  <c r="K17" i="11"/>
  <c r="K18" i="11"/>
  <c r="K196" i="11"/>
  <c r="K225" i="11"/>
  <c r="K207" i="11"/>
  <c r="K209" i="11"/>
  <c r="K192" i="11"/>
  <c r="I231" i="11"/>
  <c r="I227" i="11"/>
  <c r="I223" i="11"/>
  <c r="I219" i="11"/>
  <c r="I215" i="11"/>
  <c r="I211" i="11"/>
  <c r="I207" i="11"/>
  <c r="I203" i="11"/>
  <c r="I199" i="11"/>
  <c r="I195" i="11"/>
  <c r="I232" i="11"/>
  <c r="I228" i="11"/>
  <c r="I224" i="11"/>
  <c r="I220" i="11"/>
  <c r="I216" i="11"/>
  <c r="I212" i="11"/>
  <c r="I208" i="11"/>
  <c r="I204" i="11"/>
  <c r="I200" i="11"/>
  <c r="I196" i="11"/>
  <c r="I193" i="11"/>
  <c r="I191" i="11"/>
  <c r="I229" i="11"/>
  <c r="I225" i="11"/>
  <c r="I221" i="11"/>
  <c r="I217" i="11"/>
  <c r="I213" i="11"/>
  <c r="I209" i="11"/>
  <c r="I205" i="11"/>
  <c r="I201" i="11"/>
  <c r="I197" i="11"/>
  <c r="I192" i="11"/>
  <c r="I188" i="11"/>
  <c r="I186" i="11"/>
  <c r="I184" i="11"/>
  <c r="I182" i="11"/>
  <c r="I180" i="11"/>
  <c r="I178" i="11"/>
  <c r="I176" i="11"/>
  <c r="I174" i="11"/>
  <c r="K173" i="11"/>
  <c r="I190" i="11"/>
  <c r="I194" i="11"/>
  <c r="I187" i="11"/>
  <c r="I179" i="11"/>
  <c r="I185" i="11"/>
  <c r="I177" i="11"/>
  <c r="I206" i="11"/>
  <c r="I181" i="11"/>
  <c r="I175" i="11"/>
  <c r="I189" i="11"/>
  <c r="I183" i="11"/>
  <c r="I173" i="11"/>
  <c r="I230" i="11"/>
  <c r="I222" i="11"/>
  <c r="I214" i="11"/>
  <c r="I202" i="11"/>
  <c r="I226" i="11"/>
  <c r="I210" i="11"/>
  <c r="I218" i="11"/>
  <c r="I198" i="11"/>
  <c r="K169" i="11"/>
  <c r="K179" i="11"/>
  <c r="K232" i="11"/>
  <c r="K212" i="11"/>
  <c r="K185" i="11"/>
  <c r="K168" i="11"/>
  <c r="K177" i="11"/>
  <c r="K180" i="11"/>
  <c r="K220" i="11"/>
  <c r="K155" i="11"/>
  <c r="K139" i="11"/>
  <c r="K126" i="11"/>
  <c r="K122" i="11"/>
  <c r="K87" i="11"/>
  <c r="K79" i="11"/>
  <c r="K71" i="11"/>
  <c r="K205" i="11"/>
  <c r="K166" i="11"/>
  <c r="K151" i="11"/>
  <c r="K135" i="11"/>
  <c r="K85" i="11"/>
  <c r="K77" i="11"/>
  <c r="K69" i="11"/>
  <c r="K88" i="11"/>
  <c r="K80" i="11"/>
  <c r="K72" i="11"/>
  <c r="K60" i="11"/>
  <c r="K104" i="11"/>
  <c r="K86" i="11"/>
  <c r="J188" i="11"/>
  <c r="J182" i="11"/>
  <c r="J173" i="11"/>
  <c r="J181" i="11"/>
  <c r="J189" i="11"/>
  <c r="J207" i="11"/>
  <c r="J223" i="11"/>
  <c r="J192" i="11"/>
  <c r="J206" i="11"/>
  <c r="J222" i="11"/>
  <c r="J201" i="11"/>
  <c r="J217" i="11"/>
  <c r="J196" i="11"/>
  <c r="J212" i="11"/>
  <c r="J228" i="11"/>
  <c r="K103" i="11"/>
  <c r="K54" i="11"/>
  <c r="K46" i="11"/>
  <c r="K37" i="11"/>
  <c r="K14" i="11"/>
  <c r="K113" i="11"/>
  <c r="K20" i="11"/>
  <c r="K4" i="11"/>
  <c r="K161" i="11"/>
  <c r="K102" i="11"/>
  <c r="K82" i="11"/>
  <c r="K153" i="11"/>
  <c r="K53" i="11"/>
  <c r="K45" i="11"/>
  <c r="K38" i="11"/>
  <c r="K29" i="11"/>
  <c r="K25" i="11"/>
  <c r="K231" i="11"/>
  <c r="K162" i="11"/>
  <c r="K160" i="11"/>
  <c r="K158" i="11"/>
  <c r="K156" i="11"/>
  <c r="K154" i="11"/>
  <c r="K152" i="11"/>
  <c r="K150" i="11"/>
  <c r="K148" i="11"/>
  <c r="K146" i="11"/>
  <c r="K144" i="11"/>
  <c r="K142" i="11"/>
  <c r="K140" i="11"/>
  <c r="K138" i="11"/>
  <c r="K136" i="11"/>
  <c r="K134" i="11"/>
  <c r="K132" i="11"/>
  <c r="K130" i="11"/>
  <c r="K223" i="11"/>
  <c r="K229" i="11"/>
  <c r="K211" i="11"/>
  <c r="K213" i="11"/>
  <c r="K195" i="11"/>
  <c r="K178" i="11"/>
  <c r="K201" i="11"/>
  <c r="K188" i="11"/>
  <c r="K175" i="11"/>
  <c r="K216" i="11"/>
  <c r="K197" i="11"/>
  <c r="K118" i="11"/>
  <c r="K129" i="11"/>
  <c r="K125" i="11"/>
  <c r="K121" i="11"/>
  <c r="K91" i="11"/>
  <c r="K65" i="11"/>
  <c r="K89" i="11"/>
  <c r="K67" i="11"/>
  <c r="K59" i="11"/>
  <c r="K157" i="11"/>
  <c r="K141" i="11"/>
  <c r="K92" i="11"/>
  <c r="K116" i="11"/>
  <c r="K100" i="11"/>
  <c r="K32" i="11"/>
  <c r="J180" i="11"/>
  <c r="J176" i="11"/>
  <c r="J175" i="11"/>
  <c r="J183" i="11"/>
  <c r="J195" i="11"/>
  <c r="J211" i="11"/>
  <c r="J227" i="11"/>
  <c r="J194" i="11"/>
  <c r="J210" i="11"/>
  <c r="J226" i="11"/>
  <c r="J205" i="11"/>
  <c r="J221" i="11"/>
  <c r="J200" i="11"/>
  <c r="J216" i="11"/>
  <c r="K99" i="11"/>
  <c r="K52" i="11"/>
  <c r="K44" i="11"/>
  <c r="K34" i="11"/>
  <c r="K109" i="11"/>
  <c r="K27" i="11"/>
  <c r="K3" i="11"/>
  <c r="K114" i="11"/>
  <c r="K74" i="11"/>
  <c r="K62" i="11"/>
  <c r="K107" i="11"/>
  <c r="K51" i="11"/>
  <c r="K43" i="11"/>
  <c r="K36" i="11"/>
  <c r="K16" i="11"/>
  <c r="K23" i="11"/>
  <c r="K19" i="11"/>
  <c r="O44" i="9" l="1"/>
  <c r="N44" i="9"/>
  <c r="O43" i="9"/>
  <c r="N43" i="9"/>
  <c r="O42" i="9"/>
  <c r="N42" i="9"/>
  <c r="O41" i="9"/>
  <c r="N41" i="9"/>
  <c r="O40" i="9"/>
  <c r="N40" i="9"/>
  <c r="O39" i="9"/>
  <c r="N39" i="9"/>
  <c r="O38" i="9"/>
  <c r="N38" i="9"/>
  <c r="O37" i="9"/>
  <c r="N37" i="9"/>
  <c r="O36" i="9"/>
  <c r="N36" i="9"/>
  <c r="O35" i="9"/>
  <c r="N35" i="9"/>
  <c r="O34" i="9"/>
  <c r="N34" i="9"/>
  <c r="O33" i="9"/>
  <c r="N33" i="9"/>
  <c r="O32" i="9"/>
  <c r="N32" i="9"/>
  <c r="O31" i="9"/>
  <c r="N31" i="9"/>
  <c r="O30" i="9"/>
  <c r="N30" i="9"/>
  <c r="O29" i="9"/>
  <c r="N29" i="9"/>
  <c r="O28" i="9"/>
  <c r="N28" i="9"/>
  <c r="O27" i="9"/>
  <c r="N27" i="9"/>
  <c r="O26" i="9"/>
  <c r="N26" i="9"/>
  <c r="O25" i="9"/>
  <c r="N25" i="9"/>
  <c r="O24" i="9"/>
  <c r="N24" i="9"/>
  <c r="O23" i="9"/>
  <c r="N23" i="9"/>
  <c r="O22" i="9"/>
  <c r="N22" i="9"/>
  <c r="O21" i="9"/>
  <c r="N21" i="9"/>
  <c r="O20" i="9"/>
  <c r="N20" i="9"/>
  <c r="O19" i="9"/>
  <c r="N19" i="9"/>
  <c r="O18" i="9"/>
  <c r="N18" i="9"/>
  <c r="O17" i="9"/>
  <c r="N17" i="9"/>
  <c r="O16" i="9"/>
  <c r="N16" i="9"/>
  <c r="O15" i="9"/>
  <c r="N15" i="9"/>
  <c r="O14" i="9"/>
  <c r="N14" i="9"/>
  <c r="O13" i="9"/>
  <c r="N13" i="9"/>
  <c r="O12" i="9"/>
  <c r="N12" i="9"/>
  <c r="O11" i="9"/>
  <c r="N11" i="9"/>
  <c r="O10" i="9"/>
  <c r="N10" i="9"/>
  <c r="O9" i="9"/>
  <c r="N9" i="9"/>
  <c r="O8" i="9"/>
  <c r="N8" i="9"/>
  <c r="N7" i="9"/>
  <c r="N6" i="9"/>
  <c r="N5" i="9"/>
  <c r="N4" i="9"/>
  <c r="C79" i="8" l="1"/>
  <c r="B79" i="8"/>
  <c r="C77" i="8"/>
  <c r="B77" i="8"/>
  <c r="D163" i="7"/>
  <c r="C163" i="7"/>
  <c r="B163" i="7"/>
  <c r="D161" i="7"/>
  <c r="C161" i="7"/>
  <c r="B161" i="7"/>
  <c r="D232" i="5" l="1"/>
  <c r="C232" i="5"/>
  <c r="B232" i="5"/>
  <c r="D231" i="5"/>
  <c r="C231" i="5"/>
  <c r="B231" i="5"/>
  <c r="D230" i="5"/>
  <c r="C230" i="5"/>
  <c r="B230" i="5"/>
  <c r="D229" i="5"/>
  <c r="C229" i="5"/>
  <c r="B229" i="5"/>
  <c r="D228" i="5"/>
  <c r="C228" i="5"/>
  <c r="B228" i="5"/>
  <c r="D227" i="5"/>
  <c r="C227" i="5"/>
  <c r="B227" i="5"/>
  <c r="D226" i="5"/>
  <c r="C226" i="5"/>
  <c r="B226" i="5"/>
  <c r="D225" i="5"/>
  <c r="C225" i="5"/>
  <c r="B225" i="5"/>
  <c r="D224" i="5"/>
  <c r="C224" i="5"/>
  <c r="B224" i="5"/>
  <c r="D223" i="5"/>
  <c r="C223" i="5"/>
  <c r="B223" i="5"/>
  <c r="D222" i="5"/>
  <c r="F232" i="5" s="1"/>
  <c r="H232" i="5" s="1"/>
  <c r="C222" i="5"/>
  <c r="B222" i="5"/>
  <c r="D221" i="5"/>
  <c r="C221" i="5"/>
  <c r="B221" i="5"/>
  <c r="D220" i="5"/>
  <c r="F231" i="5" s="1"/>
  <c r="C220" i="5"/>
  <c r="B220" i="5"/>
  <c r="D219" i="5"/>
  <c r="C219" i="5"/>
  <c r="E230" i="5" s="1"/>
  <c r="B219" i="5"/>
  <c r="D218" i="5"/>
  <c r="C218" i="5"/>
  <c r="B218" i="5"/>
  <c r="D217" i="5"/>
  <c r="F228" i="5" s="1"/>
  <c r="C217" i="5"/>
  <c r="E228" i="5" s="1"/>
  <c r="B217" i="5"/>
  <c r="D216" i="5"/>
  <c r="C216" i="5"/>
  <c r="B216" i="5"/>
  <c r="D215" i="5"/>
  <c r="C215" i="5"/>
  <c r="E225" i="5" s="1"/>
  <c r="B215" i="5"/>
  <c r="D214" i="5"/>
  <c r="F225" i="5" s="1"/>
  <c r="H225" i="5" s="1"/>
  <c r="C214" i="5"/>
  <c r="B214" i="5"/>
  <c r="D213" i="5"/>
  <c r="C213" i="5"/>
  <c r="B213" i="5"/>
  <c r="D212" i="5"/>
  <c r="F223" i="5" s="1"/>
  <c r="C212" i="5"/>
  <c r="B212" i="5"/>
  <c r="D211" i="5"/>
  <c r="C211" i="5"/>
  <c r="E222" i="5" s="1"/>
  <c r="B211" i="5"/>
  <c r="D210" i="5"/>
  <c r="C210" i="5"/>
  <c r="B210" i="5"/>
  <c r="D209" i="5"/>
  <c r="F220" i="5" s="1"/>
  <c r="C209" i="5"/>
  <c r="E220" i="5" s="1"/>
  <c r="B209" i="5"/>
  <c r="D208" i="5"/>
  <c r="C208" i="5"/>
  <c r="B208" i="5"/>
  <c r="D207" i="5"/>
  <c r="C207" i="5"/>
  <c r="B207" i="5"/>
  <c r="D206" i="5"/>
  <c r="F217" i="5" s="1"/>
  <c r="H217" i="5" s="1"/>
  <c r="C206" i="5"/>
  <c r="B206" i="5"/>
  <c r="D205" i="5"/>
  <c r="C205" i="5"/>
  <c r="B205" i="5"/>
  <c r="D204" i="5"/>
  <c r="F215" i="5" s="1"/>
  <c r="C204" i="5"/>
  <c r="B204" i="5"/>
  <c r="D203" i="5"/>
  <c r="C203" i="5"/>
  <c r="E214" i="5" s="1"/>
  <c r="B203" i="5"/>
  <c r="D202" i="5"/>
  <c r="C202" i="5"/>
  <c r="B202" i="5"/>
  <c r="E201" i="5"/>
  <c r="D201" i="5"/>
  <c r="F212" i="5" s="1"/>
  <c r="C201" i="5"/>
  <c r="E212" i="5" s="1"/>
  <c r="B201" i="5"/>
  <c r="D200" i="5"/>
  <c r="C200" i="5"/>
  <c r="B200" i="5"/>
  <c r="G200" i="5" s="1"/>
  <c r="D199" i="5"/>
  <c r="C199" i="5"/>
  <c r="B199" i="5"/>
  <c r="D198" i="5"/>
  <c r="F209" i="5" s="1"/>
  <c r="H209" i="5" s="1"/>
  <c r="C198" i="5"/>
  <c r="B198" i="5"/>
  <c r="D197" i="5"/>
  <c r="C197" i="5"/>
  <c r="B197" i="5"/>
  <c r="D196" i="5"/>
  <c r="F207" i="5" s="1"/>
  <c r="H207" i="5" s="1"/>
  <c r="C196" i="5"/>
  <c r="B196" i="5"/>
  <c r="E195" i="5"/>
  <c r="G195" i="5" s="1"/>
  <c r="D195" i="5"/>
  <c r="C195" i="5"/>
  <c r="E206" i="5" s="1"/>
  <c r="B195" i="5"/>
  <c r="A195" i="5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D194" i="5"/>
  <c r="C194" i="5"/>
  <c r="B194" i="5"/>
  <c r="D193" i="5"/>
  <c r="F204" i="5" s="1"/>
  <c r="C193" i="5"/>
  <c r="E204" i="5" s="1"/>
  <c r="B193" i="5"/>
  <c r="D192" i="5"/>
  <c r="C192" i="5"/>
  <c r="B192" i="5"/>
  <c r="D191" i="5"/>
  <c r="C191" i="5"/>
  <c r="B191" i="5"/>
  <c r="D190" i="5"/>
  <c r="C190" i="5"/>
  <c r="B190" i="5"/>
  <c r="D189" i="5"/>
  <c r="F200" i="5" s="1"/>
  <c r="H200" i="5" s="1"/>
  <c r="C189" i="5"/>
  <c r="E200" i="5" s="1"/>
  <c r="B189" i="5"/>
  <c r="D188" i="5"/>
  <c r="C188" i="5"/>
  <c r="E199" i="5" s="1"/>
  <c r="G199" i="5" s="1"/>
  <c r="B188" i="5"/>
  <c r="G188" i="5" s="1"/>
  <c r="D187" i="5"/>
  <c r="C187" i="5"/>
  <c r="E198" i="5" s="1"/>
  <c r="B187" i="5"/>
  <c r="D186" i="5"/>
  <c r="C186" i="5"/>
  <c r="E197" i="5" s="1"/>
  <c r="G197" i="5" s="1"/>
  <c r="B186" i="5"/>
  <c r="D185" i="5"/>
  <c r="C185" i="5"/>
  <c r="E196" i="5" s="1"/>
  <c r="B185" i="5"/>
  <c r="D184" i="5"/>
  <c r="C184" i="5"/>
  <c r="B184" i="5"/>
  <c r="D183" i="5"/>
  <c r="C183" i="5"/>
  <c r="E194" i="5" s="1"/>
  <c r="B183" i="5"/>
  <c r="D182" i="5"/>
  <c r="C182" i="5"/>
  <c r="E193" i="5" s="1"/>
  <c r="B182" i="5"/>
  <c r="D181" i="5"/>
  <c r="C181" i="5"/>
  <c r="E192" i="5" s="1"/>
  <c r="B181" i="5"/>
  <c r="D180" i="5"/>
  <c r="C180" i="5"/>
  <c r="E191" i="5" s="1"/>
  <c r="B180" i="5"/>
  <c r="D179" i="5"/>
  <c r="C179" i="5"/>
  <c r="E190" i="5" s="1"/>
  <c r="B179" i="5"/>
  <c r="D178" i="5"/>
  <c r="C178" i="5"/>
  <c r="E189" i="5" s="1"/>
  <c r="B178" i="5"/>
  <c r="D177" i="5"/>
  <c r="C177" i="5"/>
  <c r="E188" i="5" s="1"/>
  <c r="B177" i="5"/>
  <c r="D176" i="5"/>
  <c r="C176" i="5"/>
  <c r="E187" i="5" s="1"/>
  <c r="B176" i="5"/>
  <c r="F175" i="5"/>
  <c r="H175" i="5" s="1"/>
  <c r="D175" i="5"/>
  <c r="C175" i="5"/>
  <c r="E186" i="5" s="1"/>
  <c r="B175" i="5"/>
  <c r="D174" i="5"/>
  <c r="C174" i="5"/>
  <c r="E185" i="5" s="1"/>
  <c r="B174" i="5"/>
  <c r="D173" i="5"/>
  <c r="C173" i="5"/>
  <c r="E184" i="5" s="1"/>
  <c r="B173" i="5"/>
  <c r="D172" i="5"/>
  <c r="F183" i="5" s="1"/>
  <c r="H183" i="5" s="1"/>
  <c r="C172" i="5"/>
  <c r="E183" i="5" s="1"/>
  <c r="B172" i="5"/>
  <c r="F171" i="5"/>
  <c r="D171" i="5"/>
  <c r="C171" i="5"/>
  <c r="E182" i="5" s="1"/>
  <c r="B171" i="5"/>
  <c r="D170" i="5"/>
  <c r="C170" i="5"/>
  <c r="E181" i="5" s="1"/>
  <c r="B170" i="5"/>
  <c r="F169" i="5"/>
  <c r="D169" i="5"/>
  <c r="C169" i="5"/>
  <c r="E180" i="5" s="1"/>
  <c r="B169" i="5"/>
  <c r="D168" i="5"/>
  <c r="F179" i="5" s="1"/>
  <c r="H179" i="5" s="1"/>
  <c r="C168" i="5"/>
  <c r="E179" i="5" s="1"/>
  <c r="B168" i="5"/>
  <c r="D167" i="5"/>
  <c r="C167" i="5"/>
  <c r="E178" i="5" s="1"/>
  <c r="B167" i="5"/>
  <c r="D166" i="5"/>
  <c r="C166" i="5"/>
  <c r="E177" i="5" s="1"/>
  <c r="B166" i="5"/>
  <c r="D165" i="5"/>
  <c r="F176" i="5" s="1"/>
  <c r="H176" i="5" s="1"/>
  <c r="C165" i="5"/>
  <c r="E176" i="5" s="1"/>
  <c r="B165" i="5"/>
  <c r="D164" i="5"/>
  <c r="C164" i="5"/>
  <c r="E175" i="5" s="1"/>
  <c r="B164" i="5"/>
  <c r="D163" i="5"/>
  <c r="F174" i="5" s="1"/>
  <c r="C163" i="5"/>
  <c r="E174" i="5" s="1"/>
  <c r="B163" i="5"/>
  <c r="D162" i="5"/>
  <c r="C162" i="5"/>
  <c r="E173" i="5" s="1"/>
  <c r="B162" i="5"/>
  <c r="D161" i="5"/>
  <c r="F172" i="5" s="1"/>
  <c r="C161" i="5"/>
  <c r="E172" i="5" s="1"/>
  <c r="B161" i="5"/>
  <c r="D160" i="5"/>
  <c r="C160" i="5"/>
  <c r="E171" i="5" s="1"/>
  <c r="B160" i="5"/>
  <c r="D159" i="5"/>
  <c r="F170" i="5" s="1"/>
  <c r="C159" i="5"/>
  <c r="B159" i="5"/>
  <c r="D158" i="5"/>
  <c r="F168" i="5" s="1"/>
  <c r="C158" i="5"/>
  <c r="E169" i="5" s="1"/>
  <c r="B158" i="5"/>
  <c r="D157" i="5"/>
  <c r="C157" i="5"/>
  <c r="B157" i="5"/>
  <c r="D156" i="5"/>
  <c r="C156" i="5"/>
  <c r="E167" i="5" s="1"/>
  <c r="B156" i="5"/>
  <c r="D155" i="5"/>
  <c r="C155" i="5"/>
  <c r="B155" i="5"/>
  <c r="F154" i="5"/>
  <c r="D154" i="5"/>
  <c r="C154" i="5"/>
  <c r="B154" i="5"/>
  <c r="D153" i="5"/>
  <c r="C153" i="5"/>
  <c r="E164" i="5" s="1"/>
  <c r="B153" i="5"/>
  <c r="D152" i="5"/>
  <c r="C152" i="5"/>
  <c r="B152" i="5"/>
  <c r="D151" i="5"/>
  <c r="C151" i="5"/>
  <c r="B151" i="5"/>
  <c r="D150" i="5"/>
  <c r="C150" i="5"/>
  <c r="B150" i="5"/>
  <c r="D149" i="5"/>
  <c r="C149" i="5"/>
  <c r="B149" i="5"/>
  <c r="D148" i="5"/>
  <c r="C148" i="5"/>
  <c r="B148" i="5"/>
  <c r="D147" i="5"/>
  <c r="C147" i="5"/>
  <c r="E158" i="5" s="1"/>
  <c r="B147" i="5"/>
  <c r="D146" i="5"/>
  <c r="F157" i="5" s="1"/>
  <c r="C146" i="5"/>
  <c r="B146" i="5"/>
  <c r="D145" i="5"/>
  <c r="C145" i="5"/>
  <c r="B145" i="5"/>
  <c r="D144" i="5"/>
  <c r="F155" i="5" s="1"/>
  <c r="C144" i="5"/>
  <c r="E155" i="5" s="1"/>
  <c r="B144" i="5"/>
  <c r="D143" i="5"/>
  <c r="C143" i="5"/>
  <c r="B143" i="5"/>
  <c r="D142" i="5"/>
  <c r="F153" i="5" s="1"/>
  <c r="C142" i="5"/>
  <c r="B142" i="5"/>
  <c r="D141" i="5"/>
  <c r="F152" i="5" s="1"/>
  <c r="C141" i="5"/>
  <c r="E152" i="5" s="1"/>
  <c r="B141" i="5"/>
  <c r="D140" i="5"/>
  <c r="F151" i="5" s="1"/>
  <c r="C140" i="5"/>
  <c r="B140" i="5"/>
  <c r="D139" i="5"/>
  <c r="F150" i="5" s="1"/>
  <c r="C139" i="5"/>
  <c r="B139" i="5"/>
  <c r="D138" i="5"/>
  <c r="F149" i="5" s="1"/>
  <c r="C138" i="5"/>
  <c r="B138" i="5"/>
  <c r="D137" i="5"/>
  <c r="F148" i="5" s="1"/>
  <c r="C137" i="5"/>
  <c r="B137" i="5"/>
  <c r="D136" i="5"/>
  <c r="F147" i="5" s="1"/>
  <c r="C136" i="5"/>
  <c r="B136" i="5"/>
  <c r="D135" i="5"/>
  <c r="C135" i="5"/>
  <c r="B135" i="5"/>
  <c r="D134" i="5"/>
  <c r="C134" i="5"/>
  <c r="B134" i="5"/>
  <c r="D133" i="5"/>
  <c r="F144" i="5" s="1"/>
  <c r="C133" i="5"/>
  <c r="E144" i="5" s="1"/>
  <c r="B133" i="5"/>
  <c r="D132" i="5"/>
  <c r="C132" i="5"/>
  <c r="B132" i="5"/>
  <c r="D131" i="5"/>
  <c r="C131" i="5"/>
  <c r="B131" i="5"/>
  <c r="D130" i="5"/>
  <c r="F141" i="5" s="1"/>
  <c r="C130" i="5"/>
  <c r="B130" i="5"/>
  <c r="D129" i="5"/>
  <c r="C129" i="5"/>
  <c r="B129" i="5"/>
  <c r="D128" i="5"/>
  <c r="C128" i="5"/>
  <c r="B128" i="5"/>
  <c r="D127" i="5"/>
  <c r="C127" i="5"/>
  <c r="B127" i="5"/>
  <c r="D126" i="5"/>
  <c r="C126" i="5"/>
  <c r="B126" i="5"/>
  <c r="D125" i="5"/>
  <c r="C125" i="5"/>
  <c r="E136" i="5" s="1"/>
  <c r="B125" i="5"/>
  <c r="D124" i="5"/>
  <c r="C124" i="5"/>
  <c r="B124" i="5"/>
  <c r="D123" i="5"/>
  <c r="C123" i="5"/>
  <c r="B123" i="5"/>
  <c r="D122" i="5"/>
  <c r="F133" i="5" s="1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F125" i="5" s="1"/>
  <c r="C114" i="5"/>
  <c r="E125" i="5" s="1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E109" i="5"/>
  <c r="D109" i="5"/>
  <c r="C109" i="5"/>
  <c r="B109" i="5"/>
  <c r="D108" i="5"/>
  <c r="C108" i="5"/>
  <c r="B108" i="5"/>
  <c r="D107" i="5"/>
  <c r="C107" i="5"/>
  <c r="B107" i="5"/>
  <c r="D106" i="5"/>
  <c r="F112" i="5" s="1"/>
  <c r="C106" i="5"/>
  <c r="B106" i="5"/>
  <c r="D105" i="5"/>
  <c r="C105" i="5"/>
  <c r="B105" i="5"/>
  <c r="D104" i="5"/>
  <c r="C104" i="5"/>
  <c r="B104" i="5"/>
  <c r="D103" i="5"/>
  <c r="C103" i="5"/>
  <c r="B103" i="5"/>
  <c r="D102" i="5"/>
  <c r="F113" i="5" s="1"/>
  <c r="C102" i="5"/>
  <c r="B102" i="5"/>
  <c r="D101" i="5"/>
  <c r="C101" i="5"/>
  <c r="B101" i="5"/>
  <c r="D100" i="5"/>
  <c r="C100" i="5"/>
  <c r="B100" i="5"/>
  <c r="D99" i="5"/>
  <c r="C99" i="5"/>
  <c r="B99" i="5"/>
  <c r="D98" i="5"/>
  <c r="F108" i="5" s="1"/>
  <c r="C98" i="5"/>
  <c r="B98" i="5"/>
  <c r="D97" i="5"/>
  <c r="C97" i="5"/>
  <c r="B97" i="5"/>
  <c r="D96" i="5"/>
  <c r="F107" i="5" s="1"/>
  <c r="C96" i="5"/>
  <c r="B96" i="5"/>
  <c r="D95" i="5"/>
  <c r="F101" i="5" s="1"/>
  <c r="C95" i="5"/>
  <c r="B95" i="5"/>
  <c r="D94" i="5"/>
  <c r="F105" i="5" s="1"/>
  <c r="C94" i="5"/>
  <c r="E105" i="5" s="1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F99" i="5" s="1"/>
  <c r="C88" i="5"/>
  <c r="B88" i="5"/>
  <c r="D87" i="5"/>
  <c r="C87" i="5"/>
  <c r="B87" i="5"/>
  <c r="D86" i="5"/>
  <c r="C86" i="5"/>
  <c r="E97" i="5" s="1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F91" i="5" s="1"/>
  <c r="C80" i="5"/>
  <c r="B80" i="5"/>
  <c r="D79" i="5"/>
  <c r="F89" i="5" s="1"/>
  <c r="C79" i="5"/>
  <c r="B79" i="5"/>
  <c r="D78" i="5"/>
  <c r="C78" i="5"/>
  <c r="E88" i="5" s="1"/>
  <c r="G88" i="5" s="1"/>
  <c r="B78" i="5"/>
  <c r="D77" i="5"/>
  <c r="C77" i="5"/>
  <c r="B77" i="5"/>
  <c r="D76" i="5"/>
  <c r="C76" i="5"/>
  <c r="B76" i="5"/>
  <c r="G76" i="5" s="1"/>
  <c r="G75" i="5"/>
  <c r="D75" i="5"/>
  <c r="C75" i="5"/>
  <c r="B75" i="5"/>
  <c r="F74" i="5"/>
  <c r="D74" i="5"/>
  <c r="C74" i="5"/>
  <c r="B74" i="5"/>
  <c r="F73" i="5"/>
  <c r="D73" i="5"/>
  <c r="C73" i="5"/>
  <c r="B73" i="5"/>
  <c r="H73" i="5" s="1"/>
  <c r="G72" i="5"/>
  <c r="F72" i="5"/>
  <c r="D72" i="5"/>
  <c r="C72" i="5"/>
  <c r="B72" i="5"/>
  <c r="F71" i="5"/>
  <c r="D71" i="5"/>
  <c r="C71" i="5"/>
  <c r="E82" i="5" s="1"/>
  <c r="G82" i="5" s="1"/>
  <c r="B71" i="5"/>
  <c r="H71" i="5" s="1"/>
  <c r="F70" i="5"/>
  <c r="D70" i="5"/>
  <c r="C70" i="5"/>
  <c r="B70" i="5"/>
  <c r="H70" i="5" s="1"/>
  <c r="F69" i="5"/>
  <c r="D69" i="5"/>
  <c r="C69" i="5"/>
  <c r="B69" i="5"/>
  <c r="F68" i="5"/>
  <c r="D68" i="5"/>
  <c r="C68" i="5"/>
  <c r="B68" i="5"/>
  <c r="H68" i="5" s="1"/>
  <c r="G67" i="5"/>
  <c r="F67" i="5"/>
  <c r="D67" i="5"/>
  <c r="C67" i="5"/>
  <c r="B67" i="5"/>
  <c r="F66" i="5"/>
  <c r="D66" i="5"/>
  <c r="C66" i="5"/>
  <c r="E77" i="5" s="1"/>
  <c r="B66" i="5"/>
  <c r="F65" i="5"/>
  <c r="D65" i="5"/>
  <c r="F76" i="5" s="1"/>
  <c r="C65" i="5"/>
  <c r="E76" i="5" s="1"/>
  <c r="B65" i="5"/>
  <c r="H65" i="5" s="1"/>
  <c r="G64" i="5"/>
  <c r="F64" i="5"/>
  <c r="D64" i="5"/>
  <c r="C64" i="5"/>
  <c r="E75" i="5" s="1"/>
  <c r="B64" i="5"/>
  <c r="F63" i="5"/>
  <c r="D63" i="5"/>
  <c r="C63" i="5"/>
  <c r="E74" i="5" s="1"/>
  <c r="G74" i="5" s="1"/>
  <c r="B63" i="5"/>
  <c r="H63" i="5" s="1"/>
  <c r="F62" i="5"/>
  <c r="D62" i="5"/>
  <c r="C62" i="5"/>
  <c r="E73" i="5" s="1"/>
  <c r="G73" i="5" s="1"/>
  <c r="B62" i="5"/>
  <c r="H62" i="5" s="1"/>
  <c r="F61" i="5"/>
  <c r="D61" i="5"/>
  <c r="C61" i="5"/>
  <c r="E72" i="5" s="1"/>
  <c r="B61" i="5"/>
  <c r="F60" i="5"/>
  <c r="D60" i="5"/>
  <c r="C60" i="5"/>
  <c r="E71" i="5" s="1"/>
  <c r="G71" i="5" s="1"/>
  <c r="B60" i="5"/>
  <c r="H60" i="5" s="1"/>
  <c r="F59" i="5"/>
  <c r="D59" i="5"/>
  <c r="C59" i="5"/>
  <c r="E70" i="5" s="1"/>
  <c r="G70" i="5" s="1"/>
  <c r="B59" i="5"/>
  <c r="H59" i="5" s="1"/>
  <c r="F58" i="5"/>
  <c r="D58" i="5"/>
  <c r="C58" i="5"/>
  <c r="E69" i="5" s="1"/>
  <c r="G69" i="5" s="1"/>
  <c r="B58" i="5"/>
  <c r="F57" i="5"/>
  <c r="D57" i="5"/>
  <c r="C57" i="5"/>
  <c r="E68" i="5" s="1"/>
  <c r="G68" i="5" s="1"/>
  <c r="B57" i="5"/>
  <c r="H57" i="5" s="1"/>
  <c r="F56" i="5"/>
  <c r="D56" i="5"/>
  <c r="C56" i="5"/>
  <c r="E67" i="5" s="1"/>
  <c r="B56" i="5"/>
  <c r="F55" i="5"/>
  <c r="D55" i="5"/>
  <c r="C55" i="5"/>
  <c r="E66" i="5" s="1"/>
  <c r="G66" i="5" s="1"/>
  <c r="B55" i="5"/>
  <c r="H55" i="5" s="1"/>
  <c r="F54" i="5"/>
  <c r="D54" i="5"/>
  <c r="C54" i="5"/>
  <c r="E65" i="5" s="1"/>
  <c r="G65" i="5" s="1"/>
  <c r="B54" i="5"/>
  <c r="H54" i="5" s="1"/>
  <c r="F53" i="5"/>
  <c r="D53" i="5"/>
  <c r="C53" i="5"/>
  <c r="E64" i="5" s="1"/>
  <c r="B53" i="5"/>
  <c r="F52" i="5"/>
  <c r="D52" i="5"/>
  <c r="C52" i="5"/>
  <c r="E63" i="5" s="1"/>
  <c r="G63" i="5" s="1"/>
  <c r="B52" i="5"/>
  <c r="H52" i="5" s="1"/>
  <c r="F51" i="5"/>
  <c r="D51" i="5"/>
  <c r="C51" i="5"/>
  <c r="E62" i="5" s="1"/>
  <c r="G62" i="5" s="1"/>
  <c r="B51" i="5"/>
  <c r="H51" i="5" s="1"/>
  <c r="F50" i="5"/>
  <c r="D50" i="5"/>
  <c r="C50" i="5"/>
  <c r="E61" i="5" s="1"/>
  <c r="G61" i="5" s="1"/>
  <c r="B50" i="5"/>
  <c r="F49" i="5"/>
  <c r="D49" i="5"/>
  <c r="C49" i="5"/>
  <c r="B49" i="5"/>
  <c r="H49" i="5" s="1"/>
  <c r="F48" i="5"/>
  <c r="D48" i="5"/>
  <c r="C48" i="5"/>
  <c r="B48" i="5"/>
  <c r="F47" i="5"/>
  <c r="D47" i="5"/>
  <c r="C47" i="5"/>
  <c r="E58" i="5" s="1"/>
  <c r="G58" i="5" s="1"/>
  <c r="B47" i="5"/>
  <c r="H47" i="5" s="1"/>
  <c r="F46" i="5"/>
  <c r="D46" i="5"/>
  <c r="C46" i="5"/>
  <c r="B46" i="5"/>
  <c r="H46" i="5" s="1"/>
  <c r="F45" i="5"/>
  <c r="D45" i="5"/>
  <c r="C45" i="5"/>
  <c r="B45" i="5"/>
  <c r="F44" i="5"/>
  <c r="D44" i="5"/>
  <c r="C44" i="5"/>
  <c r="B44" i="5"/>
  <c r="H44" i="5" s="1"/>
  <c r="F43" i="5"/>
  <c r="D43" i="5"/>
  <c r="C43" i="5"/>
  <c r="B43" i="5"/>
  <c r="H43" i="5" s="1"/>
  <c r="F42" i="5"/>
  <c r="D42" i="5"/>
  <c r="C42" i="5"/>
  <c r="B42" i="5"/>
  <c r="F41" i="5"/>
  <c r="D41" i="5"/>
  <c r="C41" i="5"/>
  <c r="B41" i="5"/>
  <c r="H41" i="5" s="1"/>
  <c r="F40" i="5"/>
  <c r="D40" i="5"/>
  <c r="C40" i="5"/>
  <c r="B40" i="5"/>
  <c r="F39" i="5"/>
  <c r="D39" i="5"/>
  <c r="C39" i="5"/>
  <c r="E50" i="5" s="1"/>
  <c r="G50" i="5" s="1"/>
  <c r="B39" i="5"/>
  <c r="H39" i="5" s="1"/>
  <c r="F38" i="5"/>
  <c r="D38" i="5"/>
  <c r="C38" i="5"/>
  <c r="B38" i="5"/>
  <c r="H38" i="5" s="1"/>
  <c r="F37" i="5"/>
  <c r="D37" i="5"/>
  <c r="C37" i="5"/>
  <c r="B37" i="5"/>
  <c r="F36" i="5"/>
  <c r="D36" i="5"/>
  <c r="C36" i="5"/>
  <c r="B36" i="5"/>
  <c r="F35" i="5"/>
  <c r="D35" i="5"/>
  <c r="C35" i="5"/>
  <c r="B35" i="5"/>
  <c r="H35" i="5" s="1"/>
  <c r="F34" i="5"/>
  <c r="D34" i="5"/>
  <c r="C34" i="5"/>
  <c r="B34" i="5"/>
  <c r="H34" i="5" s="1"/>
  <c r="F33" i="5"/>
  <c r="D33" i="5"/>
  <c r="C33" i="5"/>
  <c r="B33" i="5"/>
  <c r="D32" i="5"/>
  <c r="C32" i="5"/>
  <c r="B32" i="5"/>
  <c r="D31" i="5"/>
  <c r="C31" i="5"/>
  <c r="E42" i="5" s="1"/>
  <c r="G42" i="5" s="1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E25" i="5"/>
  <c r="G25" i="5" s="1"/>
  <c r="D25" i="5"/>
  <c r="C25" i="5"/>
  <c r="B25" i="5"/>
  <c r="D24" i="5"/>
  <c r="C24" i="5"/>
  <c r="E35" i="5" s="1"/>
  <c r="B24" i="5"/>
  <c r="D23" i="5"/>
  <c r="C23" i="5"/>
  <c r="E34" i="5" s="1"/>
  <c r="G34" i="5" s="1"/>
  <c r="B23" i="5"/>
  <c r="D22" i="5"/>
  <c r="C22" i="5"/>
  <c r="E33" i="5" s="1"/>
  <c r="G33" i="5" s="1"/>
  <c r="B22" i="5"/>
  <c r="D21" i="5"/>
  <c r="F32" i="5" s="1"/>
  <c r="C21" i="5"/>
  <c r="E32" i="5" s="1"/>
  <c r="G32" i="5" s="1"/>
  <c r="B21" i="5"/>
  <c r="D20" i="5"/>
  <c r="F31" i="5" s="1"/>
  <c r="C20" i="5"/>
  <c r="E31" i="5" s="1"/>
  <c r="B20" i="5"/>
  <c r="D19" i="5"/>
  <c r="F30" i="5" s="1"/>
  <c r="C19" i="5"/>
  <c r="E30" i="5" s="1"/>
  <c r="B19" i="5"/>
  <c r="D18" i="5"/>
  <c r="F29" i="5" s="1"/>
  <c r="H29" i="5" s="1"/>
  <c r="C18" i="5"/>
  <c r="E29" i="5" s="1"/>
  <c r="B18" i="5"/>
  <c r="D17" i="5"/>
  <c r="F28" i="5" s="1"/>
  <c r="H28" i="5" s="1"/>
  <c r="C17" i="5"/>
  <c r="E28" i="5" s="1"/>
  <c r="G28" i="5" s="1"/>
  <c r="B17" i="5"/>
  <c r="D16" i="5"/>
  <c r="F27" i="5" s="1"/>
  <c r="H27" i="5" s="1"/>
  <c r="C16" i="5"/>
  <c r="E27" i="5" s="1"/>
  <c r="G27" i="5" s="1"/>
  <c r="B16" i="5"/>
  <c r="D15" i="5"/>
  <c r="F26" i="5" s="1"/>
  <c r="H26" i="5" s="1"/>
  <c r="C15" i="5"/>
  <c r="E26" i="5" s="1"/>
  <c r="G26" i="5" s="1"/>
  <c r="B15" i="5"/>
  <c r="H15" i="5" s="1"/>
  <c r="D14" i="5"/>
  <c r="F25" i="5" s="1"/>
  <c r="H25" i="5" s="1"/>
  <c r="C14" i="5"/>
  <c r="B14" i="5"/>
  <c r="D13" i="5"/>
  <c r="F24" i="5" s="1"/>
  <c r="H24" i="5" s="1"/>
  <c r="C13" i="5"/>
  <c r="E24" i="5" s="1"/>
  <c r="G24" i="5" s="1"/>
  <c r="B13" i="5"/>
  <c r="D12" i="5"/>
  <c r="F23" i="5" s="1"/>
  <c r="H23" i="5" s="1"/>
  <c r="C12" i="5"/>
  <c r="E23" i="5" s="1"/>
  <c r="G23" i="5" s="1"/>
  <c r="B12" i="5"/>
  <c r="D11" i="5"/>
  <c r="F22" i="5" s="1"/>
  <c r="H22" i="5" s="1"/>
  <c r="C11" i="5"/>
  <c r="E22" i="5" s="1"/>
  <c r="G22" i="5" s="1"/>
  <c r="B11" i="5"/>
  <c r="D10" i="5"/>
  <c r="F21" i="5" s="1"/>
  <c r="H21" i="5" s="1"/>
  <c r="C10" i="5"/>
  <c r="E21" i="5" s="1"/>
  <c r="G21" i="5" s="1"/>
  <c r="B10" i="5"/>
  <c r="D9" i="5"/>
  <c r="F20" i="5" s="1"/>
  <c r="H20" i="5" s="1"/>
  <c r="C9" i="5"/>
  <c r="E20" i="5" s="1"/>
  <c r="G20" i="5" s="1"/>
  <c r="B9" i="5"/>
  <c r="D8" i="5"/>
  <c r="F19" i="5" s="1"/>
  <c r="H19" i="5" s="1"/>
  <c r="C8" i="5"/>
  <c r="E19" i="5" s="1"/>
  <c r="G19" i="5" s="1"/>
  <c r="B8" i="5"/>
  <c r="D7" i="5"/>
  <c r="F18" i="5" s="1"/>
  <c r="H18" i="5" s="1"/>
  <c r="C7" i="5"/>
  <c r="E18" i="5" s="1"/>
  <c r="B7" i="5"/>
  <c r="D6" i="5"/>
  <c r="F17" i="5" s="1"/>
  <c r="H17" i="5" s="1"/>
  <c r="C6" i="5"/>
  <c r="E17" i="5" s="1"/>
  <c r="B6" i="5"/>
  <c r="D5" i="5"/>
  <c r="F16" i="5" s="1"/>
  <c r="C5" i="5"/>
  <c r="E16" i="5" s="1"/>
  <c r="B5" i="5"/>
  <c r="D4" i="5"/>
  <c r="F15" i="5" s="1"/>
  <c r="C4" i="5"/>
  <c r="E15" i="5" s="1"/>
  <c r="B4" i="5"/>
  <c r="D3" i="5"/>
  <c r="F11" i="5" s="1"/>
  <c r="C3" i="5"/>
  <c r="E7" i="5" s="1"/>
  <c r="B3" i="5"/>
  <c r="A1" i="5"/>
  <c r="H14" i="5" l="1"/>
  <c r="G17" i="5"/>
  <c r="G30" i="5"/>
  <c r="K20" i="5"/>
  <c r="G18" i="5"/>
  <c r="H31" i="5"/>
  <c r="K23" i="5"/>
  <c r="H4" i="5"/>
  <c r="H16" i="5"/>
  <c r="G29" i="5"/>
  <c r="K68" i="5"/>
  <c r="H11" i="5"/>
  <c r="K69" i="5"/>
  <c r="E4" i="5"/>
  <c r="E10" i="5"/>
  <c r="F6" i="5"/>
  <c r="H6" i="5" s="1"/>
  <c r="H30" i="5"/>
  <c r="H32" i="5"/>
  <c r="H36" i="5"/>
  <c r="H42" i="5"/>
  <c r="E56" i="5"/>
  <c r="G56" i="5" s="1"/>
  <c r="H50" i="5"/>
  <c r="H58" i="5"/>
  <c r="H66" i="5"/>
  <c r="F88" i="5"/>
  <c r="H88" i="5" s="1"/>
  <c r="E91" i="5"/>
  <c r="G91" i="5" s="1"/>
  <c r="F96" i="5"/>
  <c r="E99" i="5"/>
  <c r="E107" i="5"/>
  <c r="F111" i="5"/>
  <c r="E113" i="5"/>
  <c r="E104" i="5"/>
  <c r="E127" i="5"/>
  <c r="G127" i="5" s="1"/>
  <c r="K127" i="5" s="1"/>
  <c r="E43" i="5"/>
  <c r="G43" i="5" s="1"/>
  <c r="E47" i="5"/>
  <c r="E37" i="5"/>
  <c r="G37" i="5" s="1"/>
  <c r="E53" i="5"/>
  <c r="G53" i="5" s="1"/>
  <c r="E85" i="5"/>
  <c r="G78" i="5"/>
  <c r="K78" i="5" s="1"/>
  <c r="E92" i="5"/>
  <c r="G92" i="5" s="1"/>
  <c r="K92" i="5" s="1"/>
  <c r="E101" i="5"/>
  <c r="E100" i="5"/>
  <c r="F104" i="5"/>
  <c r="H104" i="5" s="1"/>
  <c r="F120" i="5"/>
  <c r="H120" i="5" s="1"/>
  <c r="E80" i="5"/>
  <c r="G80" i="5" s="1"/>
  <c r="F195" i="5"/>
  <c r="F191" i="5"/>
  <c r="H191" i="5" s="1"/>
  <c r="E8" i="5"/>
  <c r="E11" i="5"/>
  <c r="E13" i="5"/>
  <c r="E41" i="5"/>
  <c r="G41" i="5" s="1"/>
  <c r="K41" i="5" s="1"/>
  <c r="E46" i="5"/>
  <c r="G46" i="5" s="1"/>
  <c r="K46" i="5" s="1"/>
  <c r="E36" i="5"/>
  <c r="G36" i="5" s="1"/>
  <c r="E55" i="5"/>
  <c r="G55" i="5" s="1"/>
  <c r="E79" i="5"/>
  <c r="G79" i="5" s="1"/>
  <c r="E87" i="5"/>
  <c r="G87" i="5" s="1"/>
  <c r="F82" i="5"/>
  <c r="E95" i="5"/>
  <c r="G95" i="5" s="1"/>
  <c r="K95" i="5" s="1"/>
  <c r="F90" i="5"/>
  <c r="E103" i="5"/>
  <c r="H99" i="5"/>
  <c r="G99" i="5"/>
  <c r="E114" i="5"/>
  <c r="G120" i="5"/>
  <c r="K120" i="5" s="1"/>
  <c r="G136" i="5"/>
  <c r="H144" i="5"/>
  <c r="E151" i="5"/>
  <c r="F167" i="5"/>
  <c r="F165" i="5"/>
  <c r="H165" i="5" s="1"/>
  <c r="G172" i="5"/>
  <c r="H172" i="5"/>
  <c r="G103" i="5"/>
  <c r="E3" i="5"/>
  <c r="G3" i="5" s="1"/>
  <c r="K3" i="5" s="1"/>
  <c r="E9" i="5"/>
  <c r="F8" i="5"/>
  <c r="H8" i="5" s="1"/>
  <c r="F12" i="5"/>
  <c r="H12" i="5" s="1"/>
  <c r="E40" i="5"/>
  <c r="G40" i="5" s="1"/>
  <c r="E52" i="5"/>
  <c r="E60" i="5"/>
  <c r="G60" i="5" s="1"/>
  <c r="E84" i="5"/>
  <c r="F87" i="5"/>
  <c r="H87" i="5" s="1"/>
  <c r="F95" i="5"/>
  <c r="F103" i="5"/>
  <c r="H103" i="5" s="1"/>
  <c r="E108" i="5"/>
  <c r="E110" i="5"/>
  <c r="F114" i="5"/>
  <c r="F116" i="5"/>
  <c r="H108" i="5"/>
  <c r="G108" i="5"/>
  <c r="K108" i="5" s="1"/>
  <c r="E112" i="5"/>
  <c r="E131" i="5"/>
  <c r="F136" i="5"/>
  <c r="H136" i="5" s="1"/>
  <c r="E139" i="5"/>
  <c r="G139" i="5" s="1"/>
  <c r="K139" i="5" s="1"/>
  <c r="G131" i="5"/>
  <c r="K131" i="5" s="1"/>
  <c r="E147" i="5"/>
  <c r="H170" i="5"/>
  <c r="H195" i="5"/>
  <c r="E6" i="5"/>
  <c r="E14" i="5"/>
  <c r="F5" i="5"/>
  <c r="H5" i="5" s="1"/>
  <c r="F9" i="5"/>
  <c r="H9" i="5" s="1"/>
  <c r="F13" i="5"/>
  <c r="H13" i="5" s="1"/>
  <c r="G4" i="5"/>
  <c r="G6" i="5"/>
  <c r="G7" i="5"/>
  <c r="G8" i="5"/>
  <c r="G9" i="5"/>
  <c r="G10" i="5"/>
  <c r="G11" i="5"/>
  <c r="G13" i="5"/>
  <c r="K13" i="5" s="1"/>
  <c r="G14" i="5"/>
  <c r="G15" i="5"/>
  <c r="G16" i="5"/>
  <c r="E39" i="5"/>
  <c r="G39" i="5" s="1"/>
  <c r="K39" i="5" s="1"/>
  <c r="E45" i="5"/>
  <c r="G45" i="5" s="1"/>
  <c r="E49" i="5"/>
  <c r="E57" i="5"/>
  <c r="G57" i="5" s="1"/>
  <c r="K57" i="5" s="1"/>
  <c r="G47" i="5"/>
  <c r="H67" i="5"/>
  <c r="F84" i="5"/>
  <c r="E90" i="5"/>
  <c r="G90" i="5" s="1"/>
  <c r="F92" i="5"/>
  <c r="E98" i="5"/>
  <c r="F100" i="5"/>
  <c r="E106" i="5"/>
  <c r="G106" i="5" s="1"/>
  <c r="K106" i="5" s="1"/>
  <c r="F110" i="5"/>
  <c r="G84" i="5"/>
  <c r="G190" i="5"/>
  <c r="E5" i="5"/>
  <c r="G5" i="5" s="1"/>
  <c r="K5" i="5" s="1"/>
  <c r="E12" i="5"/>
  <c r="G12" i="5" s="1"/>
  <c r="K12" i="5" s="1"/>
  <c r="F3" i="5"/>
  <c r="H3" i="5" s="1"/>
  <c r="F10" i="5"/>
  <c r="H10" i="5" s="1"/>
  <c r="F14" i="5"/>
  <c r="H33" i="5"/>
  <c r="H37" i="5"/>
  <c r="H40" i="5"/>
  <c r="E54" i="5"/>
  <c r="G54" i="5" s="1"/>
  <c r="K54" i="5" s="1"/>
  <c r="H48" i="5"/>
  <c r="G52" i="5"/>
  <c r="H56" i="5"/>
  <c r="H64" i="5"/>
  <c r="E78" i="5"/>
  <c r="H72" i="5"/>
  <c r="E86" i="5"/>
  <c r="G86" i="5" s="1"/>
  <c r="K86" i="5" s="1"/>
  <c r="G77" i="5"/>
  <c r="E81" i="5"/>
  <c r="G81" i="5" s="1"/>
  <c r="K81" i="5" s="1"/>
  <c r="E94" i="5"/>
  <c r="G94" i="5" s="1"/>
  <c r="K94" i="5" s="1"/>
  <c r="G85" i="5"/>
  <c r="F98" i="5"/>
  <c r="E89" i="5"/>
  <c r="G89" i="5" s="1"/>
  <c r="K89" i="5" s="1"/>
  <c r="E102" i="5"/>
  <c r="F106" i="5"/>
  <c r="H106" i="5" s="1"/>
  <c r="F97" i="5"/>
  <c r="E117" i="5"/>
  <c r="F118" i="5"/>
  <c r="H118" i="5" s="1"/>
  <c r="H111" i="5"/>
  <c r="E129" i="5"/>
  <c r="E96" i="5"/>
  <c r="F4" i="5"/>
  <c r="F7" i="5"/>
  <c r="H7" i="5" s="1"/>
  <c r="E38" i="5"/>
  <c r="G38" i="5" s="1"/>
  <c r="K38" i="5" s="1"/>
  <c r="G31" i="5"/>
  <c r="E44" i="5"/>
  <c r="G44" i="5" s="1"/>
  <c r="K44" i="5" s="1"/>
  <c r="G35" i="5"/>
  <c r="E48" i="5"/>
  <c r="G48" i="5" s="1"/>
  <c r="E51" i="5"/>
  <c r="G51" i="5" s="1"/>
  <c r="H45" i="5"/>
  <c r="E59" i="5"/>
  <c r="G59" i="5" s="1"/>
  <c r="G49" i="5"/>
  <c r="H53" i="5"/>
  <c r="H61" i="5"/>
  <c r="H69" i="5"/>
  <c r="E83" i="5"/>
  <c r="G83" i="5" s="1"/>
  <c r="F85" i="5"/>
  <c r="H85" i="5" s="1"/>
  <c r="F81" i="5"/>
  <c r="F93" i="5"/>
  <c r="H93" i="5" s="1"/>
  <c r="F102" i="5"/>
  <c r="E111" i="5"/>
  <c r="G111" i="5" s="1"/>
  <c r="K111" i="5" s="1"/>
  <c r="F115" i="5"/>
  <c r="F117" i="5"/>
  <c r="E122" i="5"/>
  <c r="H116" i="5"/>
  <c r="F75" i="5"/>
  <c r="F83" i="5"/>
  <c r="H83" i="5" s="1"/>
  <c r="H95" i="5"/>
  <c r="E120" i="5"/>
  <c r="F123" i="5"/>
  <c r="H123" i="5" s="1"/>
  <c r="H114" i="5"/>
  <c r="G114" i="5"/>
  <c r="K114" i="5" s="1"/>
  <c r="F119" i="5"/>
  <c r="E133" i="5"/>
  <c r="H125" i="5"/>
  <c r="G125" i="5"/>
  <c r="F138" i="5"/>
  <c r="E141" i="5"/>
  <c r="H133" i="5"/>
  <c r="G133" i="5"/>
  <c r="K133" i="5" s="1"/>
  <c r="F146" i="5"/>
  <c r="E149" i="5"/>
  <c r="H141" i="5"/>
  <c r="G141" i="5"/>
  <c r="E157" i="5"/>
  <c r="F162" i="5"/>
  <c r="H162" i="5" s="1"/>
  <c r="F187" i="5"/>
  <c r="H187" i="5" s="1"/>
  <c r="H211" i="5"/>
  <c r="H76" i="5"/>
  <c r="F80" i="5"/>
  <c r="H84" i="5"/>
  <c r="H92" i="5"/>
  <c r="H98" i="5"/>
  <c r="G98" i="5"/>
  <c r="H102" i="5"/>
  <c r="G102" i="5"/>
  <c r="K102" i="5" s="1"/>
  <c r="H105" i="5"/>
  <c r="G105" i="5"/>
  <c r="E119" i="5"/>
  <c r="F109" i="5"/>
  <c r="F122" i="5"/>
  <c r="H113" i="5"/>
  <c r="G113" i="5"/>
  <c r="F127" i="5"/>
  <c r="H127" i="5" s="1"/>
  <c r="F129" i="5"/>
  <c r="F131" i="5"/>
  <c r="H131" i="5" s="1"/>
  <c r="E134" i="5"/>
  <c r="H126" i="5"/>
  <c r="F139" i="5"/>
  <c r="H139" i="5" s="1"/>
  <c r="E142" i="5"/>
  <c r="H134" i="5"/>
  <c r="G134" i="5"/>
  <c r="K134" i="5" s="1"/>
  <c r="E150" i="5"/>
  <c r="G150" i="5" s="1"/>
  <c r="K150" i="5" s="1"/>
  <c r="G142" i="5"/>
  <c r="H150" i="5"/>
  <c r="H160" i="5"/>
  <c r="H168" i="5"/>
  <c r="F188" i="5"/>
  <c r="H188" i="5" s="1"/>
  <c r="F184" i="5"/>
  <c r="H184" i="5" s="1"/>
  <c r="F180" i="5"/>
  <c r="H180" i="5" s="1"/>
  <c r="H75" i="5"/>
  <c r="F79" i="5"/>
  <c r="H79" i="5" s="1"/>
  <c r="H91" i="5"/>
  <c r="E116" i="5"/>
  <c r="G116" i="5" s="1"/>
  <c r="K116" i="5" s="1"/>
  <c r="H110" i="5"/>
  <c r="G110" i="5"/>
  <c r="E124" i="5"/>
  <c r="H121" i="5"/>
  <c r="G121" i="5"/>
  <c r="K121" i="5" s="1"/>
  <c r="F134" i="5"/>
  <c r="E137" i="5"/>
  <c r="H129" i="5"/>
  <c r="G129" i="5"/>
  <c r="F142" i="5"/>
  <c r="H142" i="5" s="1"/>
  <c r="E145" i="5"/>
  <c r="H137" i="5"/>
  <c r="G137" i="5"/>
  <c r="K137" i="5" s="1"/>
  <c r="E153" i="5"/>
  <c r="F158" i="5"/>
  <c r="H74" i="5"/>
  <c r="F78" i="5"/>
  <c r="H78" i="5" s="1"/>
  <c r="H82" i="5"/>
  <c r="F86" i="5"/>
  <c r="H86" i="5" s="1"/>
  <c r="H90" i="5"/>
  <c r="E93" i="5"/>
  <c r="G93" i="5" s="1"/>
  <c r="K93" i="5" s="1"/>
  <c r="F94" i="5"/>
  <c r="H94" i="5" s="1"/>
  <c r="H97" i="5"/>
  <c r="G97" i="5"/>
  <c r="K97" i="5" s="1"/>
  <c r="H101" i="5"/>
  <c r="G101" i="5"/>
  <c r="K101" i="5" s="1"/>
  <c r="H107" i="5"/>
  <c r="G107" i="5"/>
  <c r="K107" i="5" s="1"/>
  <c r="E121" i="5"/>
  <c r="F124" i="5"/>
  <c r="H115" i="5"/>
  <c r="H117" i="5"/>
  <c r="G117" i="5"/>
  <c r="K117" i="5" s="1"/>
  <c r="H119" i="5"/>
  <c r="G119" i="5"/>
  <c r="K119" i="5" s="1"/>
  <c r="E132" i="5"/>
  <c r="H124" i="5"/>
  <c r="G124" i="5"/>
  <c r="K124" i="5" s="1"/>
  <c r="F137" i="5"/>
  <c r="E140" i="5"/>
  <c r="H132" i="5"/>
  <c r="G132" i="5"/>
  <c r="K132" i="5" s="1"/>
  <c r="F145" i="5"/>
  <c r="H145" i="5" s="1"/>
  <c r="E148" i="5"/>
  <c r="G140" i="5"/>
  <c r="K140" i="5" s="1"/>
  <c r="E156" i="5"/>
  <c r="F160" i="5"/>
  <c r="G158" i="5"/>
  <c r="K158" i="5" s="1"/>
  <c r="H158" i="5"/>
  <c r="G181" i="5"/>
  <c r="K181" i="5" s="1"/>
  <c r="K195" i="5"/>
  <c r="H210" i="5"/>
  <c r="F77" i="5"/>
  <c r="H77" i="5" s="1"/>
  <c r="H81" i="5"/>
  <c r="H89" i="5"/>
  <c r="G104" i="5"/>
  <c r="K104" i="5" s="1"/>
  <c r="E118" i="5"/>
  <c r="G118" i="5" s="1"/>
  <c r="K118" i="5" s="1"/>
  <c r="F121" i="5"/>
  <c r="H112" i="5"/>
  <c r="G112" i="5"/>
  <c r="K112" i="5" s="1"/>
  <c r="E126" i="5"/>
  <c r="G126" i="5" s="1"/>
  <c r="K126" i="5" s="1"/>
  <c r="E128" i="5"/>
  <c r="G128" i="5" s="1"/>
  <c r="K128" i="5" s="1"/>
  <c r="E130" i="5"/>
  <c r="F132" i="5"/>
  <c r="E135" i="5"/>
  <c r="G135" i="5" s="1"/>
  <c r="K135" i="5" s="1"/>
  <c r="F140" i="5"/>
  <c r="H140" i="5" s="1"/>
  <c r="E143" i="5"/>
  <c r="F156" i="5"/>
  <c r="F166" i="5"/>
  <c r="H166" i="5" s="1"/>
  <c r="K197" i="5"/>
  <c r="H203" i="5"/>
  <c r="H80" i="5"/>
  <c r="H96" i="5"/>
  <c r="G96" i="5"/>
  <c r="K96" i="5" s="1"/>
  <c r="H100" i="5"/>
  <c r="G100" i="5"/>
  <c r="K100" i="5" s="1"/>
  <c r="E115" i="5"/>
  <c r="G115" i="5" s="1"/>
  <c r="K115" i="5" s="1"/>
  <c r="H109" i="5"/>
  <c r="G109" i="5"/>
  <c r="K109" i="5" s="1"/>
  <c r="E123" i="5"/>
  <c r="G123" i="5" s="1"/>
  <c r="K123" i="5" s="1"/>
  <c r="F126" i="5"/>
  <c r="F128" i="5"/>
  <c r="H128" i="5" s="1"/>
  <c r="F130" i="5"/>
  <c r="H122" i="5"/>
  <c r="G122" i="5"/>
  <c r="K122" i="5" s="1"/>
  <c r="F135" i="5"/>
  <c r="H135" i="5" s="1"/>
  <c r="E138" i="5"/>
  <c r="G138" i="5" s="1"/>
  <c r="K138" i="5" s="1"/>
  <c r="H130" i="5"/>
  <c r="G130" i="5"/>
  <c r="F143" i="5"/>
  <c r="H143" i="5" s="1"/>
  <c r="E146" i="5"/>
  <c r="H138" i="5"/>
  <c r="E154" i="5"/>
  <c r="G154" i="5" s="1"/>
  <c r="K154" i="5" s="1"/>
  <c r="H146" i="5"/>
  <c r="F159" i="5"/>
  <c r="F164" i="5"/>
  <c r="G164" i="5"/>
  <c r="K164" i="5" s="1"/>
  <c r="H164" i="5"/>
  <c r="G174" i="5"/>
  <c r="K174" i="5" s="1"/>
  <c r="H174" i="5"/>
  <c r="F192" i="5"/>
  <c r="H192" i="5" s="1"/>
  <c r="F197" i="5"/>
  <c r="G148" i="5"/>
  <c r="H148" i="5"/>
  <c r="E162" i="5"/>
  <c r="G162" i="5" s="1"/>
  <c r="K162" i="5" s="1"/>
  <c r="G156" i="5"/>
  <c r="K156" i="5" s="1"/>
  <c r="H156" i="5"/>
  <c r="F178" i="5"/>
  <c r="H178" i="5" s="1"/>
  <c r="F182" i="5"/>
  <c r="H182" i="5" s="1"/>
  <c r="G177" i="5"/>
  <c r="K177" i="5" s="1"/>
  <c r="F193" i="5"/>
  <c r="G184" i="5"/>
  <c r="K184" i="5" s="1"/>
  <c r="G186" i="5"/>
  <c r="K186" i="5" s="1"/>
  <c r="E202" i="5"/>
  <c r="G193" i="5"/>
  <c r="K193" i="5" s="1"/>
  <c r="H193" i="5"/>
  <c r="E207" i="5"/>
  <c r="G207" i="5" s="1"/>
  <c r="K207" i="5" s="1"/>
  <c r="F210" i="5"/>
  <c r="H201" i="5"/>
  <c r="E215" i="5"/>
  <c r="G215" i="5" s="1"/>
  <c r="K215" i="5" s="1"/>
  <c r="F218" i="5"/>
  <c r="H218" i="5" s="1"/>
  <c r="E223" i="5"/>
  <c r="G223" i="5" s="1"/>
  <c r="K223" i="5" s="1"/>
  <c r="F226" i="5"/>
  <c r="H226" i="5" s="1"/>
  <c r="E231" i="5"/>
  <c r="G231" i="5" s="1"/>
  <c r="K50" i="5" s="1"/>
  <c r="G225" i="5"/>
  <c r="K225" i="5" s="1"/>
  <c r="H147" i="5"/>
  <c r="E159" i="5"/>
  <c r="G153" i="5"/>
  <c r="K153" i="5" s="1"/>
  <c r="H153" i="5"/>
  <c r="F161" i="5"/>
  <c r="H161" i="5" s="1"/>
  <c r="F163" i="5"/>
  <c r="F186" i="5"/>
  <c r="H186" i="5" s="1"/>
  <c r="G179" i="5"/>
  <c r="K179" i="5" s="1"/>
  <c r="F202" i="5"/>
  <c r="H202" i="5" s="1"/>
  <c r="H214" i="5"/>
  <c r="H222" i="5"/>
  <c r="E161" i="5"/>
  <c r="G155" i="5"/>
  <c r="K155" i="5" s="1"/>
  <c r="H155" i="5"/>
  <c r="F190" i="5"/>
  <c r="H190" i="5" s="1"/>
  <c r="G183" i="5"/>
  <c r="K183" i="5" s="1"/>
  <c r="K200" i="5"/>
  <c r="E209" i="5"/>
  <c r="G209" i="5" s="1"/>
  <c r="K209" i="5" s="1"/>
  <c r="E217" i="5"/>
  <c r="G217" i="5" s="1"/>
  <c r="K217" i="5" s="1"/>
  <c r="G152" i="5"/>
  <c r="K152" i="5" s="1"/>
  <c r="H152" i="5"/>
  <c r="E166" i="5"/>
  <c r="G166" i="5" s="1"/>
  <c r="K166" i="5" s="1"/>
  <c r="F173" i="5"/>
  <c r="F177" i="5"/>
  <c r="H177" i="5" s="1"/>
  <c r="F181" i="5"/>
  <c r="H181" i="5" s="1"/>
  <c r="F185" i="5"/>
  <c r="G176" i="5"/>
  <c r="K176" i="5" s="1"/>
  <c r="G178" i="5"/>
  <c r="K178" i="5" s="1"/>
  <c r="G185" i="5"/>
  <c r="K185" i="5" s="1"/>
  <c r="H185" i="5"/>
  <c r="F199" i="5"/>
  <c r="F201" i="5"/>
  <c r="G192" i="5"/>
  <c r="K192" i="5" s="1"/>
  <c r="G194" i="5"/>
  <c r="K194" i="5" s="1"/>
  <c r="H197" i="5"/>
  <c r="F198" i="5"/>
  <c r="H198" i="5" s="1"/>
  <c r="H205" i="5"/>
  <c r="F206" i="5"/>
  <c r="H206" i="5" s="1"/>
  <c r="F214" i="5"/>
  <c r="F222" i="5"/>
  <c r="F230" i="5"/>
  <c r="H230" i="5" s="1"/>
  <c r="G149" i="5"/>
  <c r="K149" i="5" s="1"/>
  <c r="H149" i="5"/>
  <c r="E163" i="5"/>
  <c r="G157" i="5"/>
  <c r="K157" i="5" s="1"/>
  <c r="H157" i="5"/>
  <c r="F194" i="5"/>
  <c r="H194" i="5" s="1"/>
  <c r="G187" i="5"/>
  <c r="K187" i="5" s="1"/>
  <c r="E205" i="5"/>
  <c r="G205" i="5" s="1"/>
  <c r="K205" i="5" s="1"/>
  <c r="E208" i="5"/>
  <c r="G208" i="5" s="1"/>
  <c r="K208" i="5" s="1"/>
  <c r="F211" i="5"/>
  <c r="G202" i="5"/>
  <c r="K202" i="5" s="1"/>
  <c r="E203" i="5"/>
  <c r="G203" i="5" s="1"/>
  <c r="K203" i="5" s="1"/>
  <c r="E216" i="5"/>
  <c r="G216" i="5" s="1"/>
  <c r="K216" i="5" s="1"/>
  <c r="F219" i="5"/>
  <c r="H219" i="5" s="1"/>
  <c r="G210" i="5"/>
  <c r="K210" i="5" s="1"/>
  <c r="E211" i="5"/>
  <c r="G211" i="5" s="1"/>
  <c r="K211" i="5" s="1"/>
  <c r="E224" i="5"/>
  <c r="G224" i="5" s="1"/>
  <c r="K224" i="5" s="1"/>
  <c r="F227" i="5"/>
  <c r="H227" i="5" s="1"/>
  <c r="E219" i="5"/>
  <c r="G219" i="5" s="1"/>
  <c r="K219" i="5" s="1"/>
  <c r="E232" i="5"/>
  <c r="G232" i="5" s="1"/>
  <c r="K232" i="5" s="1"/>
  <c r="G226" i="5"/>
  <c r="K226" i="5" s="1"/>
  <c r="E227" i="5"/>
  <c r="G227" i="5" s="1"/>
  <c r="K227" i="5" s="1"/>
  <c r="G143" i="5"/>
  <c r="K143" i="5" s="1"/>
  <c r="G144" i="5"/>
  <c r="K144" i="5" s="1"/>
  <c r="G145" i="5"/>
  <c r="K145" i="5" s="1"/>
  <c r="G146" i="5"/>
  <c r="K146" i="5" s="1"/>
  <c r="G147" i="5"/>
  <c r="K147" i="5" s="1"/>
  <c r="E160" i="5"/>
  <c r="G160" i="5" s="1"/>
  <c r="K160" i="5" s="1"/>
  <c r="H154" i="5"/>
  <c r="E168" i="5"/>
  <c r="G168" i="5" s="1"/>
  <c r="K168" i="5" s="1"/>
  <c r="G159" i="5"/>
  <c r="K159" i="5" s="1"/>
  <c r="H159" i="5"/>
  <c r="G161" i="5"/>
  <c r="K161" i="5" s="1"/>
  <c r="G163" i="5"/>
  <c r="K163" i="5" s="1"/>
  <c r="H163" i="5"/>
  <c r="G167" i="5"/>
  <c r="K167" i="5" s="1"/>
  <c r="H167" i="5"/>
  <c r="G169" i="5"/>
  <c r="K169" i="5" s="1"/>
  <c r="H169" i="5"/>
  <c r="G171" i="5"/>
  <c r="K171" i="5" s="1"/>
  <c r="H171" i="5"/>
  <c r="G173" i="5"/>
  <c r="H173" i="5"/>
  <c r="F189" i="5"/>
  <c r="H189" i="5" s="1"/>
  <c r="G180" i="5"/>
  <c r="K180" i="5" s="1"/>
  <c r="G182" i="5"/>
  <c r="K182" i="5" s="1"/>
  <c r="F196" i="5"/>
  <c r="G189" i="5"/>
  <c r="K189" i="5" s="1"/>
  <c r="F203" i="5"/>
  <c r="F205" i="5"/>
  <c r="H199" i="5"/>
  <c r="E213" i="5"/>
  <c r="G213" i="5" s="1"/>
  <c r="K213" i="5" s="1"/>
  <c r="F208" i="5"/>
  <c r="H208" i="5" s="1"/>
  <c r="E221" i="5"/>
  <c r="G221" i="5" s="1"/>
  <c r="K221" i="5" s="1"/>
  <c r="H215" i="5"/>
  <c r="F216" i="5"/>
  <c r="H216" i="5" s="1"/>
  <c r="E229" i="5"/>
  <c r="G229" i="5" s="1"/>
  <c r="K229" i="5" s="1"/>
  <c r="H223" i="5"/>
  <c r="F224" i="5"/>
  <c r="H224" i="5" s="1"/>
  <c r="H231" i="5"/>
  <c r="G151" i="5"/>
  <c r="K151" i="5" s="1"/>
  <c r="H151" i="5"/>
  <c r="E165" i="5"/>
  <c r="G165" i="5" s="1"/>
  <c r="K165" i="5" s="1"/>
  <c r="E170" i="5"/>
  <c r="G170" i="5" s="1"/>
  <c r="K170" i="5" s="1"/>
  <c r="G175" i="5"/>
  <c r="K175" i="5" s="1"/>
  <c r="G191" i="5"/>
  <c r="K191" i="5" s="1"/>
  <c r="G196" i="5"/>
  <c r="K196" i="5" s="1"/>
  <c r="H196" i="5"/>
  <c r="E210" i="5"/>
  <c r="F213" i="5"/>
  <c r="H213" i="5" s="1"/>
  <c r="G204" i="5"/>
  <c r="K204" i="5" s="1"/>
  <c r="H204" i="5"/>
  <c r="E218" i="5"/>
  <c r="G218" i="5" s="1"/>
  <c r="K218" i="5" s="1"/>
  <c r="F221" i="5"/>
  <c r="H221" i="5" s="1"/>
  <c r="G212" i="5"/>
  <c r="K212" i="5" s="1"/>
  <c r="H212" i="5"/>
  <c r="E226" i="5"/>
  <c r="F229" i="5"/>
  <c r="H229" i="5" s="1"/>
  <c r="G220" i="5"/>
  <c r="K220" i="5" s="1"/>
  <c r="H220" i="5"/>
  <c r="G228" i="5"/>
  <c r="K228" i="5" s="1"/>
  <c r="H228" i="5"/>
  <c r="G198" i="5"/>
  <c r="K198" i="5" s="1"/>
  <c r="G206" i="5"/>
  <c r="K206" i="5" s="1"/>
  <c r="G214" i="5"/>
  <c r="K214" i="5" s="1"/>
  <c r="G222" i="5"/>
  <c r="K222" i="5" s="1"/>
  <c r="G230" i="5"/>
  <c r="K230" i="5" s="1"/>
  <c r="G201" i="5"/>
  <c r="K201" i="5" s="1"/>
  <c r="K105" i="5" l="1"/>
  <c r="K48" i="5"/>
  <c r="K77" i="5"/>
  <c r="K15" i="5"/>
  <c r="K7" i="5"/>
  <c r="K36" i="5"/>
  <c r="K80" i="5"/>
  <c r="K73" i="5"/>
  <c r="K19" i="5"/>
  <c r="K62" i="5"/>
  <c r="K26" i="5"/>
  <c r="K70" i="5"/>
  <c r="K35" i="5"/>
  <c r="K47" i="5"/>
  <c r="K14" i="5"/>
  <c r="K6" i="5"/>
  <c r="K43" i="5"/>
  <c r="K91" i="5"/>
  <c r="K71" i="5"/>
  <c r="K74" i="5"/>
  <c r="K58" i="5"/>
  <c r="K88" i="5"/>
  <c r="J227" i="5"/>
  <c r="J219" i="5"/>
  <c r="J211" i="5"/>
  <c r="J203" i="5"/>
  <c r="J195" i="5"/>
  <c r="J232" i="5"/>
  <c r="J224" i="5"/>
  <c r="J216" i="5"/>
  <c r="J208" i="5"/>
  <c r="J200" i="5"/>
  <c r="J191" i="5"/>
  <c r="J187" i="5"/>
  <c r="J183" i="5"/>
  <c r="J179" i="5"/>
  <c r="J175" i="5"/>
  <c r="J229" i="5"/>
  <c r="J221" i="5"/>
  <c r="J213" i="5"/>
  <c r="J205" i="5"/>
  <c r="J197" i="5"/>
  <c r="J231" i="5"/>
  <c r="J223" i="5"/>
  <c r="J215" i="5"/>
  <c r="J207" i="5"/>
  <c r="J199" i="5"/>
  <c r="J225" i="5"/>
  <c r="J217" i="5"/>
  <c r="J209" i="5"/>
  <c r="J201" i="5"/>
  <c r="J230" i="5"/>
  <c r="J222" i="5"/>
  <c r="J214" i="5"/>
  <c r="J206" i="5"/>
  <c r="J198" i="5"/>
  <c r="J192" i="5"/>
  <c r="J188" i="5"/>
  <c r="J184" i="5"/>
  <c r="J180" i="5"/>
  <c r="J176" i="5"/>
  <c r="J185" i="5"/>
  <c r="J190" i="5"/>
  <c r="J174" i="5"/>
  <c r="J181" i="5"/>
  <c r="J186" i="5"/>
  <c r="J193" i="5"/>
  <c r="J177" i="5"/>
  <c r="J226" i="5"/>
  <c r="J218" i="5"/>
  <c r="J210" i="5"/>
  <c r="J202" i="5"/>
  <c r="J189" i="5"/>
  <c r="J173" i="5"/>
  <c r="J194" i="5"/>
  <c r="J178" i="5"/>
  <c r="J212" i="5"/>
  <c r="J204" i="5"/>
  <c r="J182" i="5"/>
  <c r="J196" i="5"/>
  <c r="J220" i="5"/>
  <c r="J228" i="5"/>
  <c r="K113" i="5"/>
  <c r="K49" i="5"/>
  <c r="K31" i="5"/>
  <c r="K4" i="5"/>
  <c r="K72" i="5"/>
  <c r="K103" i="5"/>
  <c r="K65" i="5"/>
  <c r="K29" i="5"/>
  <c r="K82" i="5"/>
  <c r="K28" i="5"/>
  <c r="K76" i="5"/>
  <c r="K22" i="5"/>
  <c r="I230" i="5"/>
  <c r="I222" i="5"/>
  <c r="I214" i="5"/>
  <c r="I206" i="5"/>
  <c r="I198" i="5"/>
  <c r="I192" i="5"/>
  <c r="I188" i="5"/>
  <c r="I184" i="5"/>
  <c r="I180" i="5"/>
  <c r="I176" i="5"/>
  <c r="I227" i="5"/>
  <c r="I219" i="5"/>
  <c r="I211" i="5"/>
  <c r="I203" i="5"/>
  <c r="I195" i="5"/>
  <c r="I232" i="5"/>
  <c r="I224" i="5"/>
  <c r="I216" i="5"/>
  <c r="I208" i="5"/>
  <c r="I200" i="5"/>
  <c r="I191" i="5"/>
  <c r="I187" i="5"/>
  <c r="I183" i="5"/>
  <c r="I179" i="5"/>
  <c r="I175" i="5"/>
  <c r="I226" i="5"/>
  <c r="I218" i="5"/>
  <c r="I210" i="5"/>
  <c r="I202" i="5"/>
  <c r="I194" i="5"/>
  <c r="I190" i="5"/>
  <c r="I186" i="5"/>
  <c r="I182" i="5"/>
  <c r="I178" i="5"/>
  <c r="I174" i="5"/>
  <c r="K173" i="5"/>
  <c r="I228" i="5"/>
  <c r="I220" i="5"/>
  <c r="I212" i="5"/>
  <c r="I204" i="5"/>
  <c r="I196" i="5"/>
  <c r="I193" i="5"/>
  <c r="I189" i="5"/>
  <c r="I185" i="5"/>
  <c r="I181" i="5"/>
  <c r="I177" i="5"/>
  <c r="I173" i="5"/>
  <c r="I225" i="5"/>
  <c r="I217" i="5"/>
  <c r="I209" i="5"/>
  <c r="I201" i="5"/>
  <c r="I231" i="5"/>
  <c r="I223" i="5"/>
  <c r="I215" i="5"/>
  <c r="I207" i="5"/>
  <c r="I199" i="5"/>
  <c r="I229" i="5"/>
  <c r="I221" i="5"/>
  <c r="I213" i="5"/>
  <c r="I205" i="5"/>
  <c r="I197" i="5"/>
  <c r="K110" i="5"/>
  <c r="K188" i="5"/>
  <c r="K98" i="5"/>
  <c r="K59" i="5"/>
  <c r="K85" i="5"/>
  <c r="K190" i="5"/>
  <c r="K11" i="5"/>
  <c r="K60" i="5"/>
  <c r="K63" i="5"/>
  <c r="K32" i="5"/>
  <c r="K42" i="5"/>
  <c r="K30" i="5"/>
  <c r="K129" i="5"/>
  <c r="K84" i="5"/>
  <c r="K45" i="5"/>
  <c r="K10" i="5"/>
  <c r="K99" i="5"/>
  <c r="K87" i="5"/>
  <c r="K67" i="5"/>
  <c r="K61" i="5"/>
  <c r="K25" i="5"/>
  <c r="K33" i="5"/>
  <c r="K66" i="5"/>
  <c r="K142" i="5"/>
  <c r="K141" i="5"/>
  <c r="K125" i="5"/>
  <c r="K64" i="5"/>
  <c r="K90" i="5"/>
  <c r="K9" i="5"/>
  <c r="K40" i="5"/>
  <c r="K136" i="5"/>
  <c r="K79" i="5"/>
  <c r="K53" i="5"/>
  <c r="K27" i="5"/>
  <c r="K24" i="5"/>
  <c r="K21" i="5"/>
  <c r="K34" i="5"/>
  <c r="K17" i="5"/>
  <c r="K231" i="5"/>
  <c r="K199" i="5"/>
  <c r="K75" i="5"/>
  <c r="K148" i="5"/>
  <c r="K130" i="5"/>
  <c r="K83" i="5"/>
  <c r="K51" i="5"/>
  <c r="K52" i="5"/>
  <c r="K16" i="5"/>
  <c r="K8" i="5"/>
  <c r="K172" i="5"/>
  <c r="K55" i="5"/>
  <c r="K37" i="5"/>
  <c r="K56" i="5"/>
  <c r="K18" i="5"/>
  <c r="O233" i="4" l="1"/>
  <c r="N233" i="4"/>
  <c r="M233" i="4"/>
  <c r="L233" i="4"/>
  <c r="F233" i="4"/>
  <c r="K233" i="4" s="1"/>
  <c r="E233" i="4"/>
  <c r="D233" i="4"/>
  <c r="C233" i="4"/>
  <c r="H233" i="4" s="1"/>
  <c r="B233" i="4"/>
  <c r="Q233" i="4" s="1"/>
  <c r="O232" i="4"/>
  <c r="N232" i="4"/>
  <c r="M232" i="4"/>
  <c r="P232" i="4" s="1"/>
  <c r="L232" i="4"/>
  <c r="F232" i="4"/>
  <c r="K232" i="4" s="1"/>
  <c r="V232" i="4" s="1"/>
  <c r="E232" i="4"/>
  <c r="D232" i="4"/>
  <c r="C232" i="4"/>
  <c r="B232" i="4"/>
  <c r="Q232" i="4" s="1"/>
  <c r="O231" i="4"/>
  <c r="N231" i="4"/>
  <c r="M231" i="4"/>
  <c r="L231" i="4"/>
  <c r="F231" i="4"/>
  <c r="K231" i="4" s="1"/>
  <c r="V231" i="4" s="1"/>
  <c r="E231" i="4"/>
  <c r="J231" i="4" s="1"/>
  <c r="D231" i="4"/>
  <c r="S231" i="4" s="1"/>
  <c r="C231" i="4"/>
  <c r="B231" i="4"/>
  <c r="G231" i="4" s="1"/>
  <c r="O230" i="4"/>
  <c r="N230" i="4"/>
  <c r="M230" i="4"/>
  <c r="L230" i="4"/>
  <c r="F230" i="4"/>
  <c r="E230" i="4"/>
  <c r="J230" i="4" s="1"/>
  <c r="D230" i="4"/>
  <c r="C230" i="4"/>
  <c r="H230" i="4" s="1"/>
  <c r="B230" i="4"/>
  <c r="G230" i="4" s="1"/>
  <c r="P229" i="4"/>
  <c r="O229" i="4"/>
  <c r="N229" i="4"/>
  <c r="M229" i="4"/>
  <c r="L229" i="4"/>
  <c r="F229" i="4"/>
  <c r="K229" i="4" s="1"/>
  <c r="V229" i="4" s="1"/>
  <c r="E229" i="4"/>
  <c r="D229" i="4"/>
  <c r="S229" i="4" s="1"/>
  <c r="C229" i="4"/>
  <c r="H229" i="4" s="1"/>
  <c r="B229" i="4"/>
  <c r="Q229" i="4" s="1"/>
  <c r="O228" i="4"/>
  <c r="N228" i="4"/>
  <c r="M228" i="4"/>
  <c r="P228" i="4" s="1"/>
  <c r="U228" i="4" s="1"/>
  <c r="L228" i="4"/>
  <c r="F228" i="4"/>
  <c r="K228" i="4" s="1"/>
  <c r="V228" i="4" s="1"/>
  <c r="E228" i="4"/>
  <c r="T228" i="4" s="1"/>
  <c r="D228" i="4"/>
  <c r="I228" i="4" s="1"/>
  <c r="C228" i="4"/>
  <c r="B228" i="4"/>
  <c r="O227" i="4"/>
  <c r="N227" i="4"/>
  <c r="P227" i="4" s="1"/>
  <c r="M227" i="4"/>
  <c r="L227" i="4"/>
  <c r="F227" i="4"/>
  <c r="E227" i="4"/>
  <c r="D227" i="4"/>
  <c r="C227" i="4"/>
  <c r="R227" i="4" s="1"/>
  <c r="B227" i="4"/>
  <c r="G227" i="4" s="1"/>
  <c r="O226" i="4"/>
  <c r="N226" i="4"/>
  <c r="M226" i="4"/>
  <c r="L226" i="4"/>
  <c r="I226" i="4"/>
  <c r="F226" i="4"/>
  <c r="K226" i="4" s="1"/>
  <c r="V226" i="4" s="1"/>
  <c r="E226" i="4"/>
  <c r="J226" i="4" s="1"/>
  <c r="D226" i="4"/>
  <c r="S226" i="4" s="1"/>
  <c r="C226" i="4"/>
  <c r="B226" i="4"/>
  <c r="O225" i="4"/>
  <c r="N225" i="4"/>
  <c r="M225" i="4"/>
  <c r="R225" i="4" s="1"/>
  <c r="L225" i="4"/>
  <c r="P225" i="4" s="1"/>
  <c r="F225" i="4"/>
  <c r="K225" i="4" s="1"/>
  <c r="V225" i="4" s="1"/>
  <c r="E225" i="4"/>
  <c r="J225" i="4" s="1"/>
  <c r="D225" i="4"/>
  <c r="C225" i="4"/>
  <c r="H225" i="4" s="1"/>
  <c r="B225" i="4"/>
  <c r="Q225" i="4" s="1"/>
  <c r="O224" i="4"/>
  <c r="N224" i="4"/>
  <c r="M224" i="4"/>
  <c r="L224" i="4"/>
  <c r="F224" i="4"/>
  <c r="K224" i="4" s="1"/>
  <c r="V224" i="4" s="1"/>
  <c r="E224" i="4"/>
  <c r="D224" i="4"/>
  <c r="I224" i="4" s="1"/>
  <c r="C224" i="4"/>
  <c r="H224" i="4" s="1"/>
  <c r="B224" i="4"/>
  <c r="O223" i="4"/>
  <c r="N223" i="4"/>
  <c r="M223" i="4"/>
  <c r="L223" i="4"/>
  <c r="F223" i="4"/>
  <c r="K223" i="4" s="1"/>
  <c r="V223" i="4" s="1"/>
  <c r="E223" i="4"/>
  <c r="J223" i="4" s="1"/>
  <c r="D223" i="4"/>
  <c r="I223" i="4" s="1"/>
  <c r="C223" i="4"/>
  <c r="R223" i="4" s="1"/>
  <c r="B223" i="4"/>
  <c r="G223" i="4" s="1"/>
  <c r="O222" i="4"/>
  <c r="N222" i="4"/>
  <c r="M222" i="4"/>
  <c r="L222" i="4"/>
  <c r="P222" i="4" s="1"/>
  <c r="F222" i="4"/>
  <c r="K222" i="4" s="1"/>
  <c r="V222" i="4" s="1"/>
  <c r="E222" i="4"/>
  <c r="T222" i="4" s="1"/>
  <c r="D222" i="4"/>
  <c r="C222" i="4"/>
  <c r="B222" i="4"/>
  <c r="O221" i="4"/>
  <c r="P221" i="4" s="1"/>
  <c r="N221" i="4"/>
  <c r="M221" i="4"/>
  <c r="L221" i="4"/>
  <c r="F221" i="4"/>
  <c r="K221" i="4" s="1"/>
  <c r="V221" i="4" s="1"/>
  <c r="E221" i="4"/>
  <c r="J221" i="4" s="1"/>
  <c r="D221" i="4"/>
  <c r="S221" i="4" s="1"/>
  <c r="C221" i="4"/>
  <c r="H221" i="4" s="1"/>
  <c r="B221" i="4"/>
  <c r="Q221" i="4" s="1"/>
  <c r="O220" i="4"/>
  <c r="N220" i="4"/>
  <c r="M220" i="4"/>
  <c r="P220" i="4" s="1"/>
  <c r="L220" i="4"/>
  <c r="K220" i="4"/>
  <c r="V220" i="4" s="1"/>
  <c r="F220" i="4"/>
  <c r="E220" i="4"/>
  <c r="D220" i="4"/>
  <c r="I220" i="4" s="1"/>
  <c r="C220" i="4"/>
  <c r="B220" i="4"/>
  <c r="O219" i="4"/>
  <c r="N219" i="4"/>
  <c r="M219" i="4"/>
  <c r="L219" i="4"/>
  <c r="F219" i="4"/>
  <c r="K219" i="4" s="1"/>
  <c r="V219" i="4" s="1"/>
  <c r="E219" i="4"/>
  <c r="J219" i="4" s="1"/>
  <c r="D219" i="4"/>
  <c r="C219" i="4"/>
  <c r="H219" i="4" s="1"/>
  <c r="B219" i="4"/>
  <c r="G219" i="4" s="1"/>
  <c r="O218" i="4"/>
  <c r="N218" i="4"/>
  <c r="M218" i="4"/>
  <c r="L218" i="4"/>
  <c r="F218" i="4"/>
  <c r="E218" i="4"/>
  <c r="J218" i="4" s="1"/>
  <c r="D218" i="4"/>
  <c r="I218" i="4" s="1"/>
  <c r="C218" i="4"/>
  <c r="H218" i="4" s="1"/>
  <c r="B218" i="4"/>
  <c r="O217" i="4"/>
  <c r="N217" i="4"/>
  <c r="M217" i="4"/>
  <c r="P217" i="4" s="1"/>
  <c r="L217" i="4"/>
  <c r="F217" i="4"/>
  <c r="K217" i="4" s="1"/>
  <c r="V217" i="4" s="1"/>
  <c r="E217" i="4"/>
  <c r="D217" i="4"/>
  <c r="C217" i="4"/>
  <c r="B217" i="4"/>
  <c r="O216" i="4"/>
  <c r="N216" i="4"/>
  <c r="M216" i="4"/>
  <c r="L216" i="4"/>
  <c r="F216" i="4"/>
  <c r="K216" i="4" s="1"/>
  <c r="V216" i="4" s="1"/>
  <c r="E216" i="4"/>
  <c r="D216" i="4"/>
  <c r="I216" i="4" s="1"/>
  <c r="C216" i="4"/>
  <c r="R216" i="4" s="1"/>
  <c r="B216" i="4"/>
  <c r="P215" i="4"/>
  <c r="O215" i="4"/>
  <c r="N215" i="4"/>
  <c r="M215" i="4"/>
  <c r="L215" i="4"/>
  <c r="F215" i="4"/>
  <c r="K215" i="4" s="1"/>
  <c r="V215" i="4" s="1"/>
  <c r="E215" i="4"/>
  <c r="D215" i="4"/>
  <c r="S215" i="4" s="1"/>
  <c r="C215" i="4"/>
  <c r="R215" i="4" s="1"/>
  <c r="B215" i="4"/>
  <c r="O214" i="4"/>
  <c r="N214" i="4"/>
  <c r="M214" i="4"/>
  <c r="L214" i="4"/>
  <c r="F214" i="4"/>
  <c r="K214" i="4" s="1"/>
  <c r="V214" i="4" s="1"/>
  <c r="E214" i="4"/>
  <c r="D214" i="4"/>
  <c r="I214" i="4" s="1"/>
  <c r="C214" i="4"/>
  <c r="B214" i="4"/>
  <c r="O213" i="4"/>
  <c r="N213" i="4"/>
  <c r="M213" i="4"/>
  <c r="L213" i="4"/>
  <c r="F213" i="4"/>
  <c r="K213" i="4" s="1"/>
  <c r="V213" i="4" s="1"/>
  <c r="E213" i="4"/>
  <c r="D213" i="4"/>
  <c r="C213" i="4"/>
  <c r="H213" i="4" s="1"/>
  <c r="B213" i="4"/>
  <c r="G213" i="4" s="1"/>
  <c r="O212" i="4"/>
  <c r="P212" i="4" s="1"/>
  <c r="N212" i="4"/>
  <c r="M212" i="4"/>
  <c r="L212" i="4"/>
  <c r="G212" i="4"/>
  <c r="F212" i="4"/>
  <c r="E212" i="4"/>
  <c r="J212" i="4" s="1"/>
  <c r="D212" i="4"/>
  <c r="I212" i="4" s="1"/>
  <c r="C212" i="4"/>
  <c r="R212" i="4" s="1"/>
  <c r="B212" i="4"/>
  <c r="Q212" i="4" s="1"/>
  <c r="O211" i="4"/>
  <c r="N211" i="4"/>
  <c r="M211" i="4"/>
  <c r="L211" i="4"/>
  <c r="F211" i="4"/>
  <c r="K211" i="4" s="1"/>
  <c r="V211" i="4" s="1"/>
  <c r="E211" i="4"/>
  <c r="D211" i="4"/>
  <c r="I211" i="4" s="1"/>
  <c r="C211" i="4"/>
  <c r="R211" i="4" s="1"/>
  <c r="B211" i="4"/>
  <c r="G211" i="4" s="1"/>
  <c r="O210" i="4"/>
  <c r="N210" i="4"/>
  <c r="M210" i="4"/>
  <c r="L210" i="4"/>
  <c r="P210" i="4" s="1"/>
  <c r="F210" i="4"/>
  <c r="K210" i="4" s="1"/>
  <c r="V210" i="4" s="1"/>
  <c r="E210" i="4"/>
  <c r="D210" i="4"/>
  <c r="C210" i="4"/>
  <c r="B210" i="4"/>
  <c r="Q210" i="4" s="1"/>
  <c r="P209" i="4"/>
  <c r="O209" i="4"/>
  <c r="N209" i="4"/>
  <c r="M209" i="4"/>
  <c r="L209" i="4"/>
  <c r="G209" i="4"/>
  <c r="F209" i="4"/>
  <c r="K209" i="4" s="1"/>
  <c r="V209" i="4" s="1"/>
  <c r="E209" i="4"/>
  <c r="T209" i="4" s="1"/>
  <c r="D209" i="4"/>
  <c r="S209" i="4" s="1"/>
  <c r="C209" i="4"/>
  <c r="H209" i="4" s="1"/>
  <c r="B209" i="4"/>
  <c r="O208" i="4"/>
  <c r="P208" i="4" s="1"/>
  <c r="N208" i="4"/>
  <c r="M208" i="4"/>
  <c r="L208" i="4"/>
  <c r="F208" i="4"/>
  <c r="U208" i="4" s="1"/>
  <c r="E208" i="4"/>
  <c r="J208" i="4" s="1"/>
  <c r="D208" i="4"/>
  <c r="I208" i="4" s="1"/>
  <c r="C208" i="4"/>
  <c r="B208" i="4"/>
  <c r="O207" i="4"/>
  <c r="N207" i="4"/>
  <c r="M207" i="4"/>
  <c r="L207" i="4"/>
  <c r="K207" i="4"/>
  <c r="V207" i="4" s="1"/>
  <c r="F207" i="4"/>
  <c r="E207" i="4"/>
  <c r="D207" i="4"/>
  <c r="I207" i="4" s="1"/>
  <c r="C207" i="4"/>
  <c r="B207" i="4"/>
  <c r="G207" i="4" s="1"/>
  <c r="O206" i="4"/>
  <c r="T206" i="4" s="1"/>
  <c r="N206" i="4"/>
  <c r="M206" i="4"/>
  <c r="L206" i="4"/>
  <c r="F206" i="4"/>
  <c r="E206" i="4"/>
  <c r="J206" i="4" s="1"/>
  <c r="D206" i="4"/>
  <c r="C206" i="4"/>
  <c r="B206" i="4"/>
  <c r="G206" i="4" s="1"/>
  <c r="O205" i="4"/>
  <c r="N205" i="4"/>
  <c r="M205" i="4"/>
  <c r="L205" i="4"/>
  <c r="P205" i="4" s="1"/>
  <c r="U205" i="4" s="1"/>
  <c r="F205" i="4"/>
  <c r="K205" i="4" s="1"/>
  <c r="V205" i="4" s="1"/>
  <c r="E205" i="4"/>
  <c r="J205" i="4" s="1"/>
  <c r="D205" i="4"/>
  <c r="S205" i="4" s="1"/>
  <c r="C205" i="4"/>
  <c r="B205" i="4"/>
  <c r="O204" i="4"/>
  <c r="N204" i="4"/>
  <c r="M204" i="4"/>
  <c r="L204" i="4"/>
  <c r="F204" i="4"/>
  <c r="E204" i="4"/>
  <c r="D204" i="4"/>
  <c r="I204" i="4" s="1"/>
  <c r="C204" i="4"/>
  <c r="B204" i="4"/>
  <c r="Q204" i="4" s="1"/>
  <c r="P203" i="4"/>
  <c r="O203" i="4"/>
  <c r="N203" i="4"/>
  <c r="M203" i="4"/>
  <c r="L203" i="4"/>
  <c r="F203" i="4"/>
  <c r="E203" i="4"/>
  <c r="J203" i="4" s="1"/>
  <c r="D203" i="4"/>
  <c r="I203" i="4" s="1"/>
  <c r="C203" i="4"/>
  <c r="R203" i="4" s="1"/>
  <c r="B203" i="4"/>
  <c r="O202" i="4"/>
  <c r="N202" i="4"/>
  <c r="M202" i="4"/>
  <c r="L202" i="4"/>
  <c r="F202" i="4"/>
  <c r="E202" i="4"/>
  <c r="J202" i="4" s="1"/>
  <c r="D202" i="4"/>
  <c r="I202" i="4" s="1"/>
  <c r="C202" i="4"/>
  <c r="B202" i="4"/>
  <c r="O201" i="4"/>
  <c r="N201" i="4"/>
  <c r="M201" i="4"/>
  <c r="L201" i="4"/>
  <c r="F201" i="4"/>
  <c r="K201" i="4" s="1"/>
  <c r="V201" i="4" s="1"/>
  <c r="E201" i="4"/>
  <c r="D201" i="4"/>
  <c r="C201" i="4"/>
  <c r="H201" i="4" s="1"/>
  <c r="B201" i="4"/>
  <c r="Q201" i="4" s="1"/>
  <c r="O200" i="4"/>
  <c r="N200" i="4"/>
  <c r="M200" i="4"/>
  <c r="P200" i="4" s="1"/>
  <c r="L200" i="4"/>
  <c r="J200" i="4"/>
  <c r="F200" i="4"/>
  <c r="E200" i="4"/>
  <c r="T200" i="4" s="1"/>
  <c r="D200" i="4"/>
  <c r="C200" i="4"/>
  <c r="H200" i="4" s="1"/>
  <c r="B200" i="4"/>
  <c r="O199" i="4"/>
  <c r="N199" i="4"/>
  <c r="M199" i="4"/>
  <c r="L199" i="4"/>
  <c r="F199" i="4"/>
  <c r="K199" i="4" s="1"/>
  <c r="V199" i="4" s="1"/>
  <c r="E199" i="4"/>
  <c r="D199" i="4"/>
  <c r="S199" i="4" s="1"/>
  <c r="C199" i="4"/>
  <c r="B199" i="4"/>
  <c r="G199" i="4" s="1"/>
  <c r="O198" i="4"/>
  <c r="N198" i="4"/>
  <c r="M198" i="4"/>
  <c r="L198" i="4"/>
  <c r="F198" i="4"/>
  <c r="E198" i="4"/>
  <c r="J198" i="4" s="1"/>
  <c r="D198" i="4"/>
  <c r="I198" i="4" s="1"/>
  <c r="C198" i="4"/>
  <c r="H198" i="4" s="1"/>
  <c r="B198" i="4"/>
  <c r="Q198" i="4" s="1"/>
  <c r="O197" i="4"/>
  <c r="N197" i="4"/>
  <c r="M197" i="4"/>
  <c r="L197" i="4"/>
  <c r="F197" i="4"/>
  <c r="K197" i="4" s="1"/>
  <c r="V197" i="4" s="1"/>
  <c r="E197" i="4"/>
  <c r="T197" i="4" s="1"/>
  <c r="D197" i="4"/>
  <c r="C197" i="4"/>
  <c r="H197" i="4" s="1"/>
  <c r="B197" i="4"/>
  <c r="G197" i="4" s="1"/>
  <c r="P196" i="4"/>
  <c r="O196" i="4"/>
  <c r="N196" i="4"/>
  <c r="M196" i="4"/>
  <c r="L196" i="4"/>
  <c r="F196" i="4"/>
  <c r="K196" i="4" s="1"/>
  <c r="V196" i="4" s="1"/>
  <c r="E196" i="4"/>
  <c r="T196" i="4" s="1"/>
  <c r="D196" i="4"/>
  <c r="I196" i="4" s="1"/>
  <c r="C196" i="4"/>
  <c r="B196" i="4"/>
  <c r="O195" i="4"/>
  <c r="N195" i="4"/>
  <c r="P195" i="4" s="1"/>
  <c r="M195" i="4"/>
  <c r="L195" i="4"/>
  <c r="F195" i="4"/>
  <c r="E195" i="4"/>
  <c r="J195" i="4" s="1"/>
  <c r="D195" i="4"/>
  <c r="C195" i="4"/>
  <c r="R195" i="4" s="1"/>
  <c r="B195" i="4"/>
  <c r="G195" i="4" s="1"/>
  <c r="O194" i="4"/>
  <c r="N194" i="4"/>
  <c r="M194" i="4"/>
  <c r="L194" i="4"/>
  <c r="F194" i="4"/>
  <c r="K194" i="4" s="1"/>
  <c r="V194" i="4" s="1"/>
  <c r="E194" i="4"/>
  <c r="J194" i="4" s="1"/>
  <c r="D194" i="4"/>
  <c r="S194" i="4" s="1"/>
  <c r="C194" i="4"/>
  <c r="B194" i="4"/>
  <c r="P193" i="4"/>
  <c r="O193" i="4"/>
  <c r="N193" i="4"/>
  <c r="M193" i="4"/>
  <c r="L193" i="4"/>
  <c r="F193" i="4"/>
  <c r="K193" i="4" s="1"/>
  <c r="V193" i="4" s="1"/>
  <c r="E193" i="4"/>
  <c r="T193" i="4" s="1"/>
  <c r="D193" i="4"/>
  <c r="C193" i="4"/>
  <c r="H193" i="4" s="1"/>
  <c r="B193" i="4"/>
  <c r="Q193" i="4" s="1"/>
  <c r="P192" i="4"/>
  <c r="O192" i="4"/>
  <c r="N192" i="4"/>
  <c r="M192" i="4"/>
  <c r="L192" i="4"/>
  <c r="F192" i="4"/>
  <c r="K192" i="4" s="1"/>
  <c r="V192" i="4" s="1"/>
  <c r="E192" i="4"/>
  <c r="D192" i="4"/>
  <c r="I192" i="4" s="1"/>
  <c r="C192" i="4"/>
  <c r="R192" i="4" s="1"/>
  <c r="B192" i="4"/>
  <c r="Q192" i="4" s="1"/>
  <c r="O191" i="4"/>
  <c r="N191" i="4"/>
  <c r="P191" i="4" s="1"/>
  <c r="M191" i="4"/>
  <c r="L191" i="4"/>
  <c r="F191" i="4"/>
  <c r="K191" i="4" s="1"/>
  <c r="V191" i="4" s="1"/>
  <c r="E191" i="4"/>
  <c r="J191" i="4" s="1"/>
  <c r="D191" i="4"/>
  <c r="I191" i="4" s="1"/>
  <c r="C191" i="4"/>
  <c r="R191" i="4" s="1"/>
  <c r="B191" i="4"/>
  <c r="O190" i="4"/>
  <c r="N190" i="4"/>
  <c r="M190" i="4"/>
  <c r="L190" i="4"/>
  <c r="P190" i="4" s="1"/>
  <c r="G190" i="4"/>
  <c r="F190" i="4"/>
  <c r="K190" i="4" s="1"/>
  <c r="V190" i="4" s="1"/>
  <c r="E190" i="4"/>
  <c r="J190" i="4" s="1"/>
  <c r="D190" i="4"/>
  <c r="C190" i="4"/>
  <c r="B190" i="4"/>
  <c r="Q190" i="4" s="1"/>
  <c r="O189" i="4"/>
  <c r="P189" i="4" s="1"/>
  <c r="N189" i="4"/>
  <c r="M189" i="4"/>
  <c r="R189" i="4" s="1"/>
  <c r="L189" i="4"/>
  <c r="F189" i="4"/>
  <c r="K189" i="4" s="1"/>
  <c r="V189" i="4" s="1"/>
  <c r="E189" i="4"/>
  <c r="D189" i="4"/>
  <c r="S189" i="4" s="1"/>
  <c r="C189" i="4"/>
  <c r="H189" i="4" s="1"/>
  <c r="B189" i="4"/>
  <c r="O188" i="4"/>
  <c r="N188" i="4"/>
  <c r="M188" i="4"/>
  <c r="L188" i="4"/>
  <c r="F188" i="4"/>
  <c r="K188" i="4" s="1"/>
  <c r="V188" i="4" s="1"/>
  <c r="E188" i="4"/>
  <c r="D188" i="4"/>
  <c r="I188" i="4" s="1"/>
  <c r="C188" i="4"/>
  <c r="R188" i="4" s="1"/>
  <c r="B188" i="4"/>
  <c r="O187" i="4"/>
  <c r="N187" i="4"/>
  <c r="M187" i="4"/>
  <c r="L187" i="4"/>
  <c r="F187" i="4"/>
  <c r="K187" i="4" s="1"/>
  <c r="V187" i="4" s="1"/>
  <c r="E187" i="4"/>
  <c r="J187" i="4" s="1"/>
  <c r="D187" i="4"/>
  <c r="C187" i="4"/>
  <c r="B187" i="4"/>
  <c r="O186" i="4"/>
  <c r="N186" i="4"/>
  <c r="M186" i="4"/>
  <c r="L186" i="4"/>
  <c r="F186" i="4"/>
  <c r="K186" i="4" s="1"/>
  <c r="V186" i="4" s="1"/>
  <c r="E186" i="4"/>
  <c r="J186" i="4" s="1"/>
  <c r="D186" i="4"/>
  <c r="S186" i="4" s="1"/>
  <c r="C186" i="4"/>
  <c r="H186" i="4" s="1"/>
  <c r="B186" i="4"/>
  <c r="O185" i="4"/>
  <c r="P185" i="4" s="1"/>
  <c r="N185" i="4"/>
  <c r="M185" i="4"/>
  <c r="L185" i="4"/>
  <c r="F185" i="4"/>
  <c r="E185" i="4"/>
  <c r="J185" i="4" s="1"/>
  <c r="D185" i="4"/>
  <c r="C185" i="4"/>
  <c r="H185" i="4" s="1"/>
  <c r="B185" i="4"/>
  <c r="G185" i="4" s="1"/>
  <c r="O184" i="4"/>
  <c r="N184" i="4"/>
  <c r="M184" i="4"/>
  <c r="L184" i="4"/>
  <c r="F184" i="4"/>
  <c r="K184" i="4" s="1"/>
  <c r="V184" i="4" s="1"/>
  <c r="E184" i="4"/>
  <c r="J184" i="4" s="1"/>
  <c r="D184" i="4"/>
  <c r="C184" i="4"/>
  <c r="R184" i="4" s="1"/>
  <c r="B184" i="4"/>
  <c r="O183" i="4"/>
  <c r="N183" i="4"/>
  <c r="M183" i="4"/>
  <c r="L183" i="4"/>
  <c r="F183" i="4"/>
  <c r="E183" i="4"/>
  <c r="D183" i="4"/>
  <c r="I183" i="4" s="1"/>
  <c r="C183" i="4"/>
  <c r="H183" i="4" s="1"/>
  <c r="B183" i="4"/>
  <c r="O182" i="4"/>
  <c r="N182" i="4"/>
  <c r="M182" i="4"/>
  <c r="P182" i="4" s="1"/>
  <c r="L182" i="4"/>
  <c r="F182" i="4"/>
  <c r="K182" i="4" s="1"/>
  <c r="V182" i="4" s="1"/>
  <c r="E182" i="4"/>
  <c r="D182" i="4"/>
  <c r="I182" i="4" s="1"/>
  <c r="C182" i="4"/>
  <c r="B182" i="4"/>
  <c r="G182" i="4" s="1"/>
  <c r="O181" i="4"/>
  <c r="N181" i="4"/>
  <c r="P181" i="4" s="1"/>
  <c r="M181" i="4"/>
  <c r="L181" i="4"/>
  <c r="K181" i="4"/>
  <c r="V181" i="4" s="1"/>
  <c r="F181" i="4"/>
  <c r="U181" i="4" s="1"/>
  <c r="E181" i="4"/>
  <c r="D181" i="4"/>
  <c r="I181" i="4" s="1"/>
  <c r="C181" i="4"/>
  <c r="B181" i="4"/>
  <c r="O180" i="4"/>
  <c r="N180" i="4"/>
  <c r="M180" i="4"/>
  <c r="L180" i="4"/>
  <c r="G180" i="4"/>
  <c r="F180" i="4"/>
  <c r="K180" i="4" s="1"/>
  <c r="V180" i="4" s="1"/>
  <c r="E180" i="4"/>
  <c r="J180" i="4" s="1"/>
  <c r="D180" i="4"/>
  <c r="S180" i="4" s="1"/>
  <c r="C180" i="4"/>
  <c r="R180" i="4" s="1"/>
  <c r="B180" i="4"/>
  <c r="O179" i="4"/>
  <c r="N179" i="4"/>
  <c r="M179" i="4"/>
  <c r="L179" i="4"/>
  <c r="P179" i="4" s="1"/>
  <c r="F179" i="4"/>
  <c r="K179" i="4" s="1"/>
  <c r="V179" i="4" s="1"/>
  <c r="E179" i="4"/>
  <c r="D179" i="4"/>
  <c r="I179" i="4" s="1"/>
  <c r="C179" i="4"/>
  <c r="H179" i="4" s="1"/>
  <c r="B179" i="4"/>
  <c r="O178" i="4"/>
  <c r="N178" i="4"/>
  <c r="M178" i="4"/>
  <c r="L178" i="4"/>
  <c r="F178" i="4"/>
  <c r="K178" i="4" s="1"/>
  <c r="V178" i="4" s="1"/>
  <c r="E178" i="4"/>
  <c r="J178" i="4" s="1"/>
  <c r="D178" i="4"/>
  <c r="C178" i="4"/>
  <c r="R178" i="4" s="1"/>
  <c r="B178" i="4"/>
  <c r="G178" i="4" s="1"/>
  <c r="O177" i="4"/>
  <c r="N177" i="4"/>
  <c r="M177" i="4"/>
  <c r="L177" i="4"/>
  <c r="F177" i="4"/>
  <c r="K177" i="4" s="1"/>
  <c r="V177" i="4" s="1"/>
  <c r="E177" i="4"/>
  <c r="J177" i="4" s="1"/>
  <c r="D177" i="4"/>
  <c r="I177" i="4" s="1"/>
  <c r="C177" i="4"/>
  <c r="B177" i="4"/>
  <c r="P176" i="4"/>
  <c r="U176" i="4" s="1"/>
  <c r="O176" i="4"/>
  <c r="N176" i="4"/>
  <c r="M176" i="4"/>
  <c r="L176" i="4"/>
  <c r="F176" i="4"/>
  <c r="K176" i="4" s="1"/>
  <c r="V176" i="4" s="1"/>
  <c r="E176" i="4"/>
  <c r="J176" i="4" s="1"/>
  <c r="D176" i="4"/>
  <c r="C176" i="4"/>
  <c r="H176" i="4" s="1"/>
  <c r="B176" i="4"/>
  <c r="O175" i="4"/>
  <c r="N175" i="4"/>
  <c r="M175" i="4"/>
  <c r="L175" i="4"/>
  <c r="F175" i="4"/>
  <c r="E175" i="4"/>
  <c r="D175" i="4"/>
  <c r="I175" i="4" s="1"/>
  <c r="C175" i="4"/>
  <c r="H175" i="4" s="1"/>
  <c r="B175" i="4"/>
  <c r="Q175" i="4" s="1"/>
  <c r="O174" i="4"/>
  <c r="N174" i="4"/>
  <c r="M174" i="4"/>
  <c r="L174" i="4"/>
  <c r="F174" i="4"/>
  <c r="K174" i="4" s="1"/>
  <c r="V174" i="4" s="1"/>
  <c r="E174" i="4"/>
  <c r="J174" i="4" s="1"/>
  <c r="D174" i="4"/>
  <c r="C174" i="4"/>
  <c r="H174" i="4" s="1"/>
  <c r="B174" i="4"/>
  <c r="G174" i="4" s="1"/>
  <c r="O173" i="4"/>
  <c r="T173" i="4" s="1"/>
  <c r="N173" i="4"/>
  <c r="M173" i="4"/>
  <c r="L173" i="4"/>
  <c r="F173" i="4"/>
  <c r="K173" i="4" s="1"/>
  <c r="V173" i="4" s="1"/>
  <c r="E173" i="4"/>
  <c r="J173" i="4" s="1"/>
  <c r="D173" i="4"/>
  <c r="I173" i="4" s="1"/>
  <c r="C173" i="4"/>
  <c r="H173" i="4" s="1"/>
  <c r="B173" i="4"/>
  <c r="O172" i="4"/>
  <c r="N172" i="4"/>
  <c r="M172" i="4"/>
  <c r="L172" i="4"/>
  <c r="F172" i="4"/>
  <c r="K172" i="4" s="1"/>
  <c r="V172" i="4" s="1"/>
  <c r="E172" i="4"/>
  <c r="J172" i="4" s="1"/>
  <c r="D172" i="4"/>
  <c r="S172" i="4" s="1"/>
  <c r="C172" i="4"/>
  <c r="H172" i="4" s="1"/>
  <c r="B172" i="4"/>
  <c r="G172" i="4" s="1"/>
  <c r="S171" i="4"/>
  <c r="O171" i="4"/>
  <c r="N171" i="4"/>
  <c r="M171" i="4"/>
  <c r="L171" i="4"/>
  <c r="F171" i="4"/>
  <c r="K171" i="4" s="1"/>
  <c r="V171" i="4" s="1"/>
  <c r="E171" i="4"/>
  <c r="T171" i="4" s="1"/>
  <c r="D171" i="4"/>
  <c r="I171" i="4" s="1"/>
  <c r="C171" i="4"/>
  <c r="H171" i="4" s="1"/>
  <c r="B171" i="4"/>
  <c r="Q170" i="4"/>
  <c r="O170" i="4"/>
  <c r="N170" i="4"/>
  <c r="M170" i="4"/>
  <c r="L170" i="4"/>
  <c r="F170" i="4"/>
  <c r="K170" i="4" s="1"/>
  <c r="V170" i="4" s="1"/>
  <c r="E170" i="4"/>
  <c r="D170" i="4"/>
  <c r="I170" i="4" s="1"/>
  <c r="C170" i="4"/>
  <c r="B170" i="4"/>
  <c r="G170" i="4" s="1"/>
  <c r="O169" i="4"/>
  <c r="N169" i="4"/>
  <c r="M169" i="4"/>
  <c r="L169" i="4"/>
  <c r="F169" i="4"/>
  <c r="E169" i="4"/>
  <c r="J169" i="4" s="1"/>
  <c r="D169" i="4"/>
  <c r="I169" i="4" s="1"/>
  <c r="C169" i="4"/>
  <c r="R169" i="4" s="1"/>
  <c r="B169" i="4"/>
  <c r="Q168" i="4"/>
  <c r="P168" i="4"/>
  <c r="O168" i="4"/>
  <c r="N168" i="4"/>
  <c r="M168" i="4"/>
  <c r="L168" i="4"/>
  <c r="G168" i="4"/>
  <c r="F168" i="4"/>
  <c r="K168" i="4" s="1"/>
  <c r="V168" i="4" s="1"/>
  <c r="E168" i="4"/>
  <c r="J168" i="4" s="1"/>
  <c r="D168" i="4"/>
  <c r="S168" i="4" s="1"/>
  <c r="C168" i="4"/>
  <c r="H168" i="4" s="1"/>
  <c r="B168" i="4"/>
  <c r="O167" i="4"/>
  <c r="N167" i="4"/>
  <c r="M167" i="4"/>
  <c r="L167" i="4"/>
  <c r="F167" i="4"/>
  <c r="K167" i="4" s="1"/>
  <c r="V167" i="4" s="1"/>
  <c r="E167" i="4"/>
  <c r="J167" i="4" s="1"/>
  <c r="D167" i="4"/>
  <c r="C167" i="4"/>
  <c r="B167" i="4"/>
  <c r="Q167" i="4" s="1"/>
  <c r="P166" i="4"/>
  <c r="O166" i="4"/>
  <c r="N166" i="4"/>
  <c r="M166" i="4"/>
  <c r="L166" i="4"/>
  <c r="F166" i="4"/>
  <c r="K166" i="4" s="1"/>
  <c r="V166" i="4" s="1"/>
  <c r="E166" i="4"/>
  <c r="D166" i="4"/>
  <c r="S166" i="4" s="1"/>
  <c r="C166" i="4"/>
  <c r="B166" i="4"/>
  <c r="O165" i="4"/>
  <c r="N165" i="4"/>
  <c r="M165" i="4"/>
  <c r="L165" i="4"/>
  <c r="F165" i="4"/>
  <c r="K165" i="4" s="1"/>
  <c r="V165" i="4" s="1"/>
  <c r="E165" i="4"/>
  <c r="J165" i="4" s="1"/>
  <c r="D165" i="4"/>
  <c r="I165" i="4" s="1"/>
  <c r="C165" i="4"/>
  <c r="B165" i="4"/>
  <c r="G165" i="4" s="1"/>
  <c r="O164" i="4"/>
  <c r="N164" i="4"/>
  <c r="M164" i="4"/>
  <c r="L164" i="4"/>
  <c r="F164" i="4"/>
  <c r="E164" i="4"/>
  <c r="J164" i="4" s="1"/>
  <c r="D164" i="4"/>
  <c r="S164" i="4" s="1"/>
  <c r="C164" i="4"/>
  <c r="B164" i="4"/>
  <c r="G164" i="4" s="1"/>
  <c r="O163" i="4"/>
  <c r="N163" i="4"/>
  <c r="M163" i="4"/>
  <c r="L163" i="4"/>
  <c r="P163" i="4" s="1"/>
  <c r="F163" i="4"/>
  <c r="E163" i="4"/>
  <c r="D163" i="4"/>
  <c r="I163" i="4" s="1"/>
  <c r="C163" i="4"/>
  <c r="H163" i="4" s="1"/>
  <c r="B163" i="4"/>
  <c r="G163" i="4" s="1"/>
  <c r="O162" i="4"/>
  <c r="N162" i="4"/>
  <c r="M162" i="4"/>
  <c r="L162" i="4"/>
  <c r="F162" i="4"/>
  <c r="E162" i="4"/>
  <c r="J162" i="4" s="1"/>
  <c r="D162" i="4"/>
  <c r="S162" i="4" s="1"/>
  <c r="C162" i="4"/>
  <c r="H162" i="4" s="1"/>
  <c r="B162" i="4"/>
  <c r="G162" i="4" s="1"/>
  <c r="O161" i="4"/>
  <c r="N161" i="4"/>
  <c r="M161" i="4"/>
  <c r="L161" i="4"/>
  <c r="F161" i="4"/>
  <c r="K161" i="4" s="1"/>
  <c r="V161" i="4" s="1"/>
  <c r="E161" i="4"/>
  <c r="D161" i="4"/>
  <c r="I161" i="4" s="1"/>
  <c r="C161" i="4"/>
  <c r="H161" i="4" s="1"/>
  <c r="B161" i="4"/>
  <c r="G161" i="4" s="1"/>
  <c r="O160" i="4"/>
  <c r="N160" i="4"/>
  <c r="P160" i="4" s="1"/>
  <c r="M160" i="4"/>
  <c r="L160" i="4"/>
  <c r="F160" i="4"/>
  <c r="U160" i="4" s="1"/>
  <c r="E160" i="4"/>
  <c r="T160" i="4" s="1"/>
  <c r="D160" i="4"/>
  <c r="C160" i="4"/>
  <c r="H160" i="4" s="1"/>
  <c r="B160" i="4"/>
  <c r="O159" i="4"/>
  <c r="N159" i="4"/>
  <c r="M159" i="4"/>
  <c r="L159" i="4"/>
  <c r="P159" i="4" s="1"/>
  <c r="F159" i="4"/>
  <c r="E159" i="4"/>
  <c r="J159" i="4" s="1"/>
  <c r="D159" i="4"/>
  <c r="I159" i="4" s="1"/>
  <c r="C159" i="4"/>
  <c r="H159" i="4" s="1"/>
  <c r="B159" i="4"/>
  <c r="G159" i="4" s="1"/>
  <c r="P158" i="4"/>
  <c r="O158" i="4"/>
  <c r="N158" i="4"/>
  <c r="M158" i="4"/>
  <c r="L158" i="4"/>
  <c r="F158" i="4"/>
  <c r="K158" i="4" s="1"/>
  <c r="V158" i="4" s="1"/>
  <c r="E158" i="4"/>
  <c r="J158" i="4" s="1"/>
  <c r="D158" i="4"/>
  <c r="S158" i="4" s="1"/>
  <c r="C158" i="4"/>
  <c r="R158" i="4" s="1"/>
  <c r="B158" i="4"/>
  <c r="P157" i="4"/>
  <c r="O157" i="4"/>
  <c r="N157" i="4"/>
  <c r="M157" i="4"/>
  <c r="L157" i="4"/>
  <c r="F157" i="4"/>
  <c r="E157" i="4"/>
  <c r="D157" i="4"/>
  <c r="S157" i="4" s="1"/>
  <c r="C157" i="4"/>
  <c r="R157" i="4" s="1"/>
  <c r="B157" i="4"/>
  <c r="O156" i="4"/>
  <c r="N156" i="4"/>
  <c r="M156" i="4"/>
  <c r="L156" i="4"/>
  <c r="P156" i="4" s="1"/>
  <c r="F156" i="4"/>
  <c r="K156" i="4" s="1"/>
  <c r="V156" i="4" s="1"/>
  <c r="E156" i="4"/>
  <c r="J156" i="4" s="1"/>
  <c r="D156" i="4"/>
  <c r="I156" i="4" s="1"/>
  <c r="C156" i="4"/>
  <c r="R156" i="4" s="1"/>
  <c r="B156" i="4"/>
  <c r="S155" i="4"/>
  <c r="O155" i="4"/>
  <c r="N155" i="4"/>
  <c r="M155" i="4"/>
  <c r="L155" i="4"/>
  <c r="F155" i="4"/>
  <c r="K155" i="4" s="1"/>
  <c r="V155" i="4" s="1"/>
  <c r="E155" i="4"/>
  <c r="D155" i="4"/>
  <c r="I155" i="4" s="1"/>
  <c r="C155" i="4"/>
  <c r="H155" i="4" s="1"/>
  <c r="B155" i="4"/>
  <c r="O154" i="4"/>
  <c r="N154" i="4"/>
  <c r="M154" i="4"/>
  <c r="L154" i="4"/>
  <c r="F154" i="4"/>
  <c r="E154" i="4"/>
  <c r="J154" i="4" s="1"/>
  <c r="D154" i="4"/>
  <c r="C154" i="4"/>
  <c r="B154" i="4"/>
  <c r="G154" i="4" s="1"/>
  <c r="P153" i="4"/>
  <c r="O153" i="4"/>
  <c r="N153" i="4"/>
  <c r="M153" i="4"/>
  <c r="L153" i="4"/>
  <c r="F153" i="4"/>
  <c r="K153" i="4" s="1"/>
  <c r="V153" i="4" s="1"/>
  <c r="E153" i="4"/>
  <c r="J153" i="4" s="1"/>
  <c r="D153" i="4"/>
  <c r="C153" i="4"/>
  <c r="H153" i="4" s="1"/>
  <c r="B153" i="4"/>
  <c r="Q153" i="4" s="1"/>
  <c r="O152" i="4"/>
  <c r="N152" i="4"/>
  <c r="M152" i="4"/>
  <c r="P152" i="4" s="1"/>
  <c r="U152" i="4" s="1"/>
  <c r="L152" i="4"/>
  <c r="F152" i="4"/>
  <c r="K152" i="4" s="1"/>
  <c r="V152" i="4" s="1"/>
  <c r="E152" i="4"/>
  <c r="J152" i="4" s="1"/>
  <c r="D152" i="4"/>
  <c r="C152" i="4"/>
  <c r="B152" i="4"/>
  <c r="G152" i="4" s="1"/>
  <c r="P151" i="4"/>
  <c r="O151" i="4"/>
  <c r="N151" i="4"/>
  <c r="M151" i="4"/>
  <c r="L151" i="4"/>
  <c r="F151" i="4"/>
  <c r="K151" i="4" s="1"/>
  <c r="V151" i="4" s="1"/>
  <c r="E151" i="4"/>
  <c r="D151" i="4"/>
  <c r="C151" i="4"/>
  <c r="B151" i="4"/>
  <c r="G151" i="4" s="1"/>
  <c r="O150" i="4"/>
  <c r="T150" i="4" s="1"/>
  <c r="N150" i="4"/>
  <c r="M150" i="4"/>
  <c r="L150" i="4"/>
  <c r="H150" i="4"/>
  <c r="F150" i="4"/>
  <c r="K150" i="4" s="1"/>
  <c r="V150" i="4" s="1"/>
  <c r="E150" i="4"/>
  <c r="J150" i="4" s="1"/>
  <c r="D150" i="4"/>
  <c r="C150" i="4"/>
  <c r="R150" i="4" s="1"/>
  <c r="B150" i="4"/>
  <c r="G150" i="4" s="1"/>
  <c r="O149" i="4"/>
  <c r="N149" i="4"/>
  <c r="M149" i="4"/>
  <c r="L149" i="4"/>
  <c r="F149" i="4"/>
  <c r="E149" i="4"/>
  <c r="T149" i="4" s="1"/>
  <c r="D149" i="4"/>
  <c r="S149" i="4" s="1"/>
  <c r="C149" i="4"/>
  <c r="B149" i="4"/>
  <c r="G148" i="4"/>
  <c r="F148" i="4"/>
  <c r="E148" i="4"/>
  <c r="D148" i="4"/>
  <c r="C148" i="4"/>
  <c r="R148" i="4" s="1"/>
  <c r="B148" i="4"/>
  <c r="Q148" i="4" s="1"/>
  <c r="F147" i="4"/>
  <c r="U147" i="4" s="1"/>
  <c r="E147" i="4"/>
  <c r="T147" i="4" s="1"/>
  <c r="D147" i="4"/>
  <c r="S147" i="4" s="1"/>
  <c r="C147" i="4"/>
  <c r="R147" i="4" s="1"/>
  <c r="B147" i="4"/>
  <c r="Q147" i="4" s="1"/>
  <c r="U146" i="4"/>
  <c r="F146" i="4"/>
  <c r="K146" i="4" s="1"/>
  <c r="V146" i="4" s="1"/>
  <c r="E146" i="4"/>
  <c r="J146" i="4" s="1"/>
  <c r="D146" i="4"/>
  <c r="C146" i="4"/>
  <c r="R146" i="4" s="1"/>
  <c r="B146" i="4"/>
  <c r="Q146" i="4" s="1"/>
  <c r="A146" i="4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F145" i="4"/>
  <c r="E145" i="4"/>
  <c r="D145" i="4"/>
  <c r="S145" i="4" s="1"/>
  <c r="C145" i="4"/>
  <c r="R145" i="4" s="1"/>
  <c r="B145" i="4"/>
  <c r="G145" i="4" s="1"/>
  <c r="F144" i="4"/>
  <c r="U144" i="4" s="1"/>
  <c r="E144" i="4"/>
  <c r="T144" i="4" s="1"/>
  <c r="D144" i="4"/>
  <c r="C144" i="4"/>
  <c r="H144" i="4" s="1"/>
  <c r="B144" i="4"/>
  <c r="F143" i="4"/>
  <c r="E143" i="4"/>
  <c r="T143" i="4" s="1"/>
  <c r="D143" i="4"/>
  <c r="I143" i="4" s="1"/>
  <c r="C143" i="4"/>
  <c r="B143" i="4"/>
  <c r="F142" i="4"/>
  <c r="E142" i="4"/>
  <c r="D142" i="4"/>
  <c r="I142" i="4" s="1"/>
  <c r="C142" i="4"/>
  <c r="R142" i="4" s="1"/>
  <c r="B142" i="4"/>
  <c r="Q142" i="4" s="1"/>
  <c r="F141" i="4"/>
  <c r="K141" i="4" s="1"/>
  <c r="V141" i="4" s="1"/>
  <c r="E141" i="4"/>
  <c r="T141" i="4" s="1"/>
  <c r="D141" i="4"/>
  <c r="I141" i="4" s="1"/>
  <c r="C141" i="4"/>
  <c r="H141" i="4" s="1"/>
  <c r="B141" i="4"/>
  <c r="Q141" i="4" s="1"/>
  <c r="F140" i="4"/>
  <c r="K140" i="4" s="1"/>
  <c r="V140" i="4" s="1"/>
  <c r="E140" i="4"/>
  <c r="D140" i="4"/>
  <c r="I140" i="4" s="1"/>
  <c r="C140" i="4"/>
  <c r="R140" i="4" s="1"/>
  <c r="B140" i="4"/>
  <c r="F139" i="4"/>
  <c r="E139" i="4"/>
  <c r="T139" i="4" s="1"/>
  <c r="D139" i="4"/>
  <c r="I139" i="4" s="1"/>
  <c r="C139" i="4"/>
  <c r="B139" i="4"/>
  <c r="K138" i="4"/>
  <c r="V138" i="4" s="1"/>
  <c r="F138" i="4"/>
  <c r="U138" i="4" s="1"/>
  <c r="E138" i="4"/>
  <c r="D138" i="4"/>
  <c r="C138" i="4"/>
  <c r="B138" i="4"/>
  <c r="Q138" i="4" s="1"/>
  <c r="F137" i="4"/>
  <c r="K137" i="4" s="1"/>
  <c r="V137" i="4" s="1"/>
  <c r="E137" i="4"/>
  <c r="D137" i="4"/>
  <c r="C137" i="4"/>
  <c r="H137" i="4" s="1"/>
  <c r="B137" i="4"/>
  <c r="G137" i="4" s="1"/>
  <c r="A137" i="4"/>
  <c r="A138" i="4" s="1"/>
  <c r="A139" i="4" s="1"/>
  <c r="A140" i="4" s="1"/>
  <c r="A141" i="4" s="1"/>
  <c r="A142" i="4" s="1"/>
  <c r="A143" i="4" s="1"/>
  <c r="A144" i="4" s="1"/>
  <c r="A145" i="4" s="1"/>
  <c r="T136" i="4"/>
  <c r="F136" i="4"/>
  <c r="E136" i="4"/>
  <c r="J136" i="4" s="1"/>
  <c r="D136" i="4"/>
  <c r="S136" i="4" s="1"/>
  <c r="C136" i="4"/>
  <c r="B136" i="4"/>
  <c r="A136" i="4"/>
  <c r="T135" i="4"/>
  <c r="F135" i="4"/>
  <c r="E135" i="4"/>
  <c r="J135" i="4" s="1"/>
  <c r="D135" i="4"/>
  <c r="C135" i="4"/>
  <c r="B135" i="4"/>
  <c r="F134" i="4"/>
  <c r="E134" i="4"/>
  <c r="D134" i="4"/>
  <c r="C134" i="4"/>
  <c r="B134" i="4"/>
  <c r="Q134" i="4" s="1"/>
  <c r="F133" i="4"/>
  <c r="U133" i="4" s="1"/>
  <c r="E133" i="4"/>
  <c r="J133" i="4" s="1"/>
  <c r="D133" i="4"/>
  <c r="S133" i="4" s="1"/>
  <c r="C133" i="4"/>
  <c r="B133" i="4"/>
  <c r="F132" i="4"/>
  <c r="E132" i="4"/>
  <c r="J132" i="4" s="1"/>
  <c r="D132" i="4"/>
  <c r="C132" i="4"/>
  <c r="B132" i="4"/>
  <c r="F131" i="4"/>
  <c r="E131" i="4"/>
  <c r="D131" i="4"/>
  <c r="I131" i="4" s="1"/>
  <c r="C131" i="4"/>
  <c r="B131" i="4"/>
  <c r="Q131" i="4" s="1"/>
  <c r="F130" i="4"/>
  <c r="U130" i="4" s="1"/>
  <c r="E130" i="4"/>
  <c r="D130" i="4"/>
  <c r="I130" i="4" s="1"/>
  <c r="C130" i="4"/>
  <c r="B130" i="4"/>
  <c r="Q130" i="4" s="1"/>
  <c r="F129" i="4"/>
  <c r="E129" i="4"/>
  <c r="J129" i="4" s="1"/>
  <c r="D129" i="4"/>
  <c r="I129" i="4" s="1"/>
  <c r="C129" i="4"/>
  <c r="B129" i="4"/>
  <c r="F128" i="4"/>
  <c r="E128" i="4"/>
  <c r="J128" i="4" s="1"/>
  <c r="D128" i="4"/>
  <c r="I128" i="4" s="1"/>
  <c r="C128" i="4"/>
  <c r="B128" i="4"/>
  <c r="F127" i="4"/>
  <c r="E127" i="4"/>
  <c r="D127" i="4"/>
  <c r="C127" i="4"/>
  <c r="B127" i="4"/>
  <c r="F126" i="4"/>
  <c r="E126" i="4"/>
  <c r="T126" i="4" s="1"/>
  <c r="D126" i="4"/>
  <c r="S126" i="4" s="1"/>
  <c r="C126" i="4"/>
  <c r="B126" i="4"/>
  <c r="Q126" i="4" s="1"/>
  <c r="F125" i="4"/>
  <c r="U125" i="4" s="1"/>
  <c r="E125" i="4"/>
  <c r="T125" i="4" s="1"/>
  <c r="D125" i="4"/>
  <c r="S125" i="4" s="1"/>
  <c r="C125" i="4"/>
  <c r="B125" i="4"/>
  <c r="G125" i="4" s="1"/>
  <c r="F124" i="4"/>
  <c r="K124" i="4" s="1"/>
  <c r="V124" i="4" s="1"/>
  <c r="E124" i="4"/>
  <c r="D124" i="4"/>
  <c r="S124" i="4" s="1"/>
  <c r="C124" i="4"/>
  <c r="R124" i="4" s="1"/>
  <c r="B124" i="4"/>
  <c r="Q124" i="4" s="1"/>
  <c r="K123" i="4"/>
  <c r="V123" i="4" s="1"/>
  <c r="F123" i="4"/>
  <c r="U123" i="4" s="1"/>
  <c r="E123" i="4"/>
  <c r="D123" i="4"/>
  <c r="S123" i="4" s="1"/>
  <c r="C123" i="4"/>
  <c r="R123" i="4" s="1"/>
  <c r="B123" i="4"/>
  <c r="G122" i="4"/>
  <c r="F122" i="4"/>
  <c r="K122" i="4" s="1"/>
  <c r="V122" i="4" s="1"/>
  <c r="E122" i="4"/>
  <c r="J122" i="4" s="1"/>
  <c r="D122" i="4"/>
  <c r="C122" i="4"/>
  <c r="R122" i="4" s="1"/>
  <c r="B122" i="4"/>
  <c r="Q122" i="4" s="1"/>
  <c r="J121" i="4"/>
  <c r="F121" i="4"/>
  <c r="E121" i="4"/>
  <c r="T121" i="4" s="1"/>
  <c r="D121" i="4"/>
  <c r="S121" i="4" s="1"/>
  <c r="C121" i="4"/>
  <c r="R121" i="4" s="1"/>
  <c r="B121" i="4"/>
  <c r="Q121" i="4" s="1"/>
  <c r="F120" i="4"/>
  <c r="U120" i="4" s="1"/>
  <c r="E120" i="4"/>
  <c r="J120" i="4" s="1"/>
  <c r="D120" i="4"/>
  <c r="C120" i="4"/>
  <c r="B120" i="4"/>
  <c r="G120" i="4" s="1"/>
  <c r="F119" i="4"/>
  <c r="K119" i="4" s="1"/>
  <c r="V119" i="4" s="1"/>
  <c r="E119" i="4"/>
  <c r="D119" i="4"/>
  <c r="I119" i="4" s="1"/>
  <c r="C119" i="4"/>
  <c r="R119" i="4" s="1"/>
  <c r="B119" i="4"/>
  <c r="I118" i="4"/>
  <c r="F118" i="4"/>
  <c r="U118" i="4" s="1"/>
  <c r="E118" i="4"/>
  <c r="T118" i="4" s="1"/>
  <c r="D118" i="4"/>
  <c r="S118" i="4" s="1"/>
  <c r="C118" i="4"/>
  <c r="B118" i="4"/>
  <c r="Q118" i="4" s="1"/>
  <c r="G117" i="4"/>
  <c r="F117" i="4"/>
  <c r="K117" i="4" s="1"/>
  <c r="V117" i="4" s="1"/>
  <c r="E117" i="4"/>
  <c r="J117" i="4" s="1"/>
  <c r="D117" i="4"/>
  <c r="I117" i="4" s="1"/>
  <c r="C117" i="4"/>
  <c r="R117" i="4" s="1"/>
  <c r="B117" i="4"/>
  <c r="Q117" i="4" s="1"/>
  <c r="I116" i="4"/>
  <c r="F116" i="4"/>
  <c r="K116" i="4" s="1"/>
  <c r="V116" i="4" s="1"/>
  <c r="E116" i="4"/>
  <c r="T116" i="4" s="1"/>
  <c r="D116" i="4"/>
  <c r="S116" i="4" s="1"/>
  <c r="C116" i="4"/>
  <c r="R116" i="4" s="1"/>
  <c r="B116" i="4"/>
  <c r="Q116" i="4" s="1"/>
  <c r="F115" i="4"/>
  <c r="U115" i="4" s="1"/>
  <c r="E115" i="4"/>
  <c r="J115" i="4" s="1"/>
  <c r="D115" i="4"/>
  <c r="I115" i="4" s="1"/>
  <c r="C115" i="4"/>
  <c r="R115" i="4" s="1"/>
  <c r="B115" i="4"/>
  <c r="G115" i="4" s="1"/>
  <c r="G114" i="4"/>
  <c r="F114" i="4"/>
  <c r="E114" i="4"/>
  <c r="T114" i="4" s="1"/>
  <c r="D114" i="4"/>
  <c r="I114" i="4" s="1"/>
  <c r="C114" i="4"/>
  <c r="R114" i="4" s="1"/>
  <c r="B114" i="4"/>
  <c r="Q114" i="4" s="1"/>
  <c r="T113" i="4"/>
  <c r="F113" i="4"/>
  <c r="K113" i="4" s="1"/>
  <c r="V113" i="4" s="1"/>
  <c r="E113" i="4"/>
  <c r="J113" i="4" s="1"/>
  <c r="D113" i="4"/>
  <c r="S113" i="4" s="1"/>
  <c r="C113" i="4"/>
  <c r="R113" i="4" s="1"/>
  <c r="B113" i="4"/>
  <c r="F112" i="4"/>
  <c r="U112" i="4" s="1"/>
  <c r="E112" i="4"/>
  <c r="T112" i="4" s="1"/>
  <c r="D112" i="4"/>
  <c r="I112" i="4" s="1"/>
  <c r="C112" i="4"/>
  <c r="R112" i="4" s="1"/>
  <c r="B112" i="4"/>
  <c r="G112" i="4" s="1"/>
  <c r="F111" i="4"/>
  <c r="K111" i="4" s="1"/>
  <c r="V111" i="4" s="1"/>
  <c r="E111" i="4"/>
  <c r="D111" i="4"/>
  <c r="I111" i="4" s="1"/>
  <c r="C111" i="4"/>
  <c r="R111" i="4" s="1"/>
  <c r="B111" i="4"/>
  <c r="Q111" i="4" s="1"/>
  <c r="F110" i="4"/>
  <c r="E110" i="4"/>
  <c r="D110" i="4"/>
  <c r="S110" i="4" s="1"/>
  <c r="C110" i="4"/>
  <c r="B110" i="4"/>
  <c r="G110" i="4" s="1"/>
  <c r="T109" i="4"/>
  <c r="F109" i="4"/>
  <c r="U109" i="4" s="1"/>
  <c r="E109" i="4"/>
  <c r="J109" i="4" s="1"/>
  <c r="D109" i="4"/>
  <c r="C109" i="4"/>
  <c r="B109" i="4"/>
  <c r="F108" i="4"/>
  <c r="E108" i="4"/>
  <c r="D108" i="4"/>
  <c r="C108" i="4"/>
  <c r="R108" i="4" s="1"/>
  <c r="B108" i="4"/>
  <c r="Q108" i="4" s="1"/>
  <c r="F107" i="4"/>
  <c r="U107" i="4" s="1"/>
  <c r="E107" i="4"/>
  <c r="D107" i="4"/>
  <c r="S107" i="4" s="1"/>
  <c r="C107" i="4"/>
  <c r="R107" i="4" s="1"/>
  <c r="B107" i="4"/>
  <c r="G107" i="4" s="1"/>
  <c r="S106" i="4"/>
  <c r="F106" i="4"/>
  <c r="K106" i="4" s="1"/>
  <c r="V106" i="4" s="1"/>
  <c r="E106" i="4"/>
  <c r="D106" i="4"/>
  <c r="I106" i="4" s="1"/>
  <c r="C106" i="4"/>
  <c r="R106" i="4" s="1"/>
  <c r="B106" i="4"/>
  <c r="Q105" i="4"/>
  <c r="F105" i="4"/>
  <c r="K105" i="4" s="1"/>
  <c r="V105" i="4" s="1"/>
  <c r="E105" i="4"/>
  <c r="J105" i="4" s="1"/>
  <c r="D105" i="4"/>
  <c r="C105" i="4"/>
  <c r="R105" i="4" s="1"/>
  <c r="B105" i="4"/>
  <c r="G105" i="4" s="1"/>
  <c r="F104" i="4"/>
  <c r="U104" i="4" s="1"/>
  <c r="E104" i="4"/>
  <c r="D104" i="4"/>
  <c r="C104" i="4"/>
  <c r="R104" i="4" s="1"/>
  <c r="B104" i="4"/>
  <c r="Q104" i="4" s="1"/>
  <c r="F103" i="4"/>
  <c r="E103" i="4"/>
  <c r="D103" i="4"/>
  <c r="I103" i="4" s="1"/>
  <c r="C103" i="4"/>
  <c r="R103" i="4" s="1"/>
  <c r="B103" i="4"/>
  <c r="Q103" i="4" s="1"/>
  <c r="I102" i="4"/>
  <c r="F102" i="4"/>
  <c r="U102" i="4" s="1"/>
  <c r="E102" i="4"/>
  <c r="T102" i="4" s="1"/>
  <c r="D102" i="4"/>
  <c r="S102" i="4" s="1"/>
  <c r="C102" i="4"/>
  <c r="B102" i="4"/>
  <c r="G102" i="4" s="1"/>
  <c r="F101" i="4"/>
  <c r="U101" i="4" s="1"/>
  <c r="E101" i="4"/>
  <c r="J101" i="4" s="1"/>
  <c r="D101" i="4"/>
  <c r="I101" i="4" s="1"/>
  <c r="C101" i="4"/>
  <c r="B101" i="4"/>
  <c r="F100" i="4"/>
  <c r="K100" i="4" s="1"/>
  <c r="V100" i="4" s="1"/>
  <c r="E100" i="4"/>
  <c r="D100" i="4"/>
  <c r="C100" i="4"/>
  <c r="R100" i="4" s="1"/>
  <c r="B100" i="4"/>
  <c r="Q100" i="4" s="1"/>
  <c r="F99" i="4"/>
  <c r="U99" i="4" s="1"/>
  <c r="E99" i="4"/>
  <c r="D99" i="4"/>
  <c r="C99" i="4"/>
  <c r="R99" i="4" s="1"/>
  <c r="B99" i="4"/>
  <c r="G99" i="4" s="1"/>
  <c r="F98" i="4"/>
  <c r="E98" i="4"/>
  <c r="T98" i="4" s="1"/>
  <c r="D98" i="4"/>
  <c r="I98" i="4" s="1"/>
  <c r="C98" i="4"/>
  <c r="R98" i="4" s="1"/>
  <c r="B98" i="4"/>
  <c r="Q98" i="4" s="1"/>
  <c r="K97" i="4"/>
  <c r="V97" i="4" s="1"/>
  <c r="F97" i="4"/>
  <c r="U97" i="4" s="1"/>
  <c r="E97" i="4"/>
  <c r="J97" i="4" s="1"/>
  <c r="D97" i="4"/>
  <c r="C97" i="4"/>
  <c r="B97" i="4"/>
  <c r="G97" i="4" s="1"/>
  <c r="F96" i="4"/>
  <c r="E96" i="4"/>
  <c r="D96" i="4"/>
  <c r="C96" i="4"/>
  <c r="R96" i="4" s="1"/>
  <c r="B96" i="4"/>
  <c r="F95" i="4"/>
  <c r="E95" i="4"/>
  <c r="T95" i="4" s="1"/>
  <c r="D95" i="4"/>
  <c r="S95" i="4" s="1"/>
  <c r="C95" i="4"/>
  <c r="R95" i="4" s="1"/>
  <c r="B95" i="4"/>
  <c r="I94" i="4"/>
  <c r="F94" i="4"/>
  <c r="U94" i="4" s="1"/>
  <c r="E94" i="4"/>
  <c r="D94" i="4"/>
  <c r="S94" i="4" s="1"/>
  <c r="C94" i="4"/>
  <c r="R94" i="4" s="1"/>
  <c r="B94" i="4"/>
  <c r="G94" i="4" s="1"/>
  <c r="K93" i="4"/>
  <c r="V93" i="4" s="1"/>
  <c r="F93" i="4"/>
  <c r="U93" i="4" s="1"/>
  <c r="E93" i="4"/>
  <c r="J93" i="4" s="1"/>
  <c r="D93" i="4"/>
  <c r="I93" i="4" s="1"/>
  <c r="C93" i="4"/>
  <c r="B93" i="4"/>
  <c r="F92" i="4"/>
  <c r="K92" i="4" s="1"/>
  <c r="V92" i="4" s="1"/>
  <c r="E92" i="4"/>
  <c r="D92" i="4"/>
  <c r="C92" i="4"/>
  <c r="R92" i="4" s="1"/>
  <c r="B92" i="4"/>
  <c r="G92" i="4" s="1"/>
  <c r="F91" i="4"/>
  <c r="U91" i="4" s="1"/>
  <c r="E91" i="4"/>
  <c r="D91" i="4"/>
  <c r="S91" i="4" s="1"/>
  <c r="C91" i="4"/>
  <c r="R91" i="4" s="1"/>
  <c r="B91" i="4"/>
  <c r="G91" i="4" s="1"/>
  <c r="T90" i="4"/>
  <c r="J90" i="4"/>
  <c r="F90" i="4"/>
  <c r="E90" i="4"/>
  <c r="D90" i="4"/>
  <c r="C90" i="4"/>
  <c r="R90" i="4" s="1"/>
  <c r="B90" i="4"/>
  <c r="Q90" i="4" s="1"/>
  <c r="F89" i="4"/>
  <c r="E89" i="4"/>
  <c r="J89" i="4" s="1"/>
  <c r="D89" i="4"/>
  <c r="C89" i="4"/>
  <c r="B89" i="4"/>
  <c r="G89" i="4" s="1"/>
  <c r="F88" i="4"/>
  <c r="E88" i="4"/>
  <c r="T88" i="4" s="1"/>
  <c r="D88" i="4"/>
  <c r="C88" i="4"/>
  <c r="R88" i="4" s="1"/>
  <c r="B88" i="4"/>
  <c r="F87" i="4"/>
  <c r="E87" i="4"/>
  <c r="T87" i="4" s="1"/>
  <c r="D87" i="4"/>
  <c r="S87" i="4" s="1"/>
  <c r="C87" i="4"/>
  <c r="R87" i="4" s="1"/>
  <c r="B87" i="4"/>
  <c r="F86" i="4"/>
  <c r="E86" i="4"/>
  <c r="T86" i="4" s="1"/>
  <c r="D86" i="4"/>
  <c r="S86" i="4" s="1"/>
  <c r="C86" i="4"/>
  <c r="R86" i="4" s="1"/>
  <c r="B86" i="4"/>
  <c r="G86" i="4" s="1"/>
  <c r="F85" i="4"/>
  <c r="K85" i="4" s="1"/>
  <c r="V85" i="4" s="1"/>
  <c r="E85" i="4"/>
  <c r="D85" i="4"/>
  <c r="I85" i="4" s="1"/>
  <c r="C85" i="4"/>
  <c r="B85" i="4"/>
  <c r="F84" i="4"/>
  <c r="K84" i="4" s="1"/>
  <c r="V84" i="4" s="1"/>
  <c r="E84" i="4"/>
  <c r="D84" i="4"/>
  <c r="C84" i="4"/>
  <c r="R84" i="4" s="1"/>
  <c r="B84" i="4"/>
  <c r="Q84" i="4" s="1"/>
  <c r="F83" i="4"/>
  <c r="U83" i="4" s="1"/>
  <c r="E83" i="4"/>
  <c r="T83" i="4" s="1"/>
  <c r="D83" i="4"/>
  <c r="S83" i="4" s="1"/>
  <c r="C83" i="4"/>
  <c r="R83" i="4" s="1"/>
  <c r="B83" i="4"/>
  <c r="G83" i="4" s="1"/>
  <c r="F82" i="4"/>
  <c r="K82" i="4" s="1"/>
  <c r="V82" i="4" s="1"/>
  <c r="E82" i="4"/>
  <c r="J82" i="4" s="1"/>
  <c r="D82" i="4"/>
  <c r="I82" i="4" s="1"/>
  <c r="C82" i="4"/>
  <c r="R82" i="4" s="1"/>
  <c r="B82" i="4"/>
  <c r="Q82" i="4" s="1"/>
  <c r="F81" i="4"/>
  <c r="K81" i="4" s="1"/>
  <c r="V81" i="4" s="1"/>
  <c r="E81" i="4"/>
  <c r="J81" i="4" s="1"/>
  <c r="D81" i="4"/>
  <c r="S81" i="4" s="1"/>
  <c r="C81" i="4"/>
  <c r="B81" i="4"/>
  <c r="Q81" i="4" s="1"/>
  <c r="T80" i="4"/>
  <c r="F80" i="4"/>
  <c r="U80" i="4" s="1"/>
  <c r="E80" i="4"/>
  <c r="J80" i="4" s="1"/>
  <c r="D80" i="4"/>
  <c r="I80" i="4" s="1"/>
  <c r="C80" i="4"/>
  <c r="R80" i="4" s="1"/>
  <c r="B80" i="4"/>
  <c r="F79" i="4"/>
  <c r="K79" i="4" s="1"/>
  <c r="V79" i="4" s="1"/>
  <c r="E79" i="4"/>
  <c r="T79" i="4" s="1"/>
  <c r="D79" i="4"/>
  <c r="S79" i="4" s="1"/>
  <c r="C79" i="4"/>
  <c r="R79" i="4" s="1"/>
  <c r="B79" i="4"/>
  <c r="F78" i="4"/>
  <c r="U78" i="4" s="1"/>
  <c r="E78" i="4"/>
  <c r="T78" i="4" s="1"/>
  <c r="D78" i="4"/>
  <c r="S78" i="4" s="1"/>
  <c r="C78" i="4"/>
  <c r="R78" i="4" s="1"/>
  <c r="B78" i="4"/>
  <c r="G78" i="4" s="1"/>
  <c r="U77" i="4"/>
  <c r="F77" i="4"/>
  <c r="K77" i="4" s="1"/>
  <c r="V77" i="4" s="1"/>
  <c r="E77" i="4"/>
  <c r="J77" i="4" s="1"/>
  <c r="D77" i="4"/>
  <c r="I77" i="4" s="1"/>
  <c r="C77" i="4"/>
  <c r="R77" i="4" s="1"/>
  <c r="B77" i="4"/>
  <c r="Q77" i="4" s="1"/>
  <c r="F76" i="4"/>
  <c r="U76" i="4" s="1"/>
  <c r="E76" i="4"/>
  <c r="D76" i="4"/>
  <c r="I76" i="4" s="1"/>
  <c r="C76" i="4"/>
  <c r="H76" i="4" s="1"/>
  <c r="B76" i="4"/>
  <c r="Q76" i="4" s="1"/>
  <c r="F75" i="4"/>
  <c r="U75" i="4" s="1"/>
  <c r="E75" i="4"/>
  <c r="T75" i="4" s="1"/>
  <c r="D75" i="4"/>
  <c r="I75" i="4" s="1"/>
  <c r="C75" i="4"/>
  <c r="R75" i="4" s="1"/>
  <c r="B75" i="4"/>
  <c r="Q75" i="4" s="1"/>
  <c r="K74" i="4"/>
  <c r="V74" i="4" s="1"/>
  <c r="F74" i="4"/>
  <c r="U74" i="4" s="1"/>
  <c r="E74" i="4"/>
  <c r="J74" i="4" s="1"/>
  <c r="D74" i="4"/>
  <c r="I74" i="4" s="1"/>
  <c r="C74" i="4"/>
  <c r="H74" i="4" s="1"/>
  <c r="B74" i="4"/>
  <c r="Q74" i="4" s="1"/>
  <c r="F73" i="4"/>
  <c r="U73" i="4" s="1"/>
  <c r="E73" i="4"/>
  <c r="T73" i="4" s="1"/>
  <c r="D73" i="4"/>
  <c r="I73" i="4" s="1"/>
  <c r="C73" i="4"/>
  <c r="R73" i="4" s="1"/>
  <c r="B73" i="4"/>
  <c r="Q73" i="4" s="1"/>
  <c r="F72" i="4"/>
  <c r="K72" i="4" s="1"/>
  <c r="V72" i="4" s="1"/>
  <c r="E72" i="4"/>
  <c r="J72" i="4" s="1"/>
  <c r="D72" i="4"/>
  <c r="I72" i="4" s="1"/>
  <c r="C72" i="4"/>
  <c r="H72" i="4" s="1"/>
  <c r="B72" i="4"/>
  <c r="Q72" i="4" s="1"/>
  <c r="F71" i="4"/>
  <c r="K71" i="4" s="1"/>
  <c r="V71" i="4" s="1"/>
  <c r="E71" i="4"/>
  <c r="T71" i="4" s="1"/>
  <c r="D71" i="4"/>
  <c r="I71" i="4" s="1"/>
  <c r="C71" i="4"/>
  <c r="R71" i="4" s="1"/>
  <c r="B71" i="4"/>
  <c r="Q71" i="4" s="1"/>
  <c r="K70" i="4"/>
  <c r="V70" i="4" s="1"/>
  <c r="F70" i="4"/>
  <c r="U70" i="4" s="1"/>
  <c r="E70" i="4"/>
  <c r="T70" i="4" s="1"/>
  <c r="D70" i="4"/>
  <c r="I70" i="4" s="1"/>
  <c r="C70" i="4"/>
  <c r="R70" i="4" s="1"/>
  <c r="B70" i="4"/>
  <c r="Q70" i="4" s="1"/>
  <c r="G69" i="4"/>
  <c r="F69" i="4"/>
  <c r="U69" i="4" s="1"/>
  <c r="E69" i="4"/>
  <c r="T69" i="4" s="1"/>
  <c r="D69" i="4"/>
  <c r="I69" i="4" s="1"/>
  <c r="C69" i="4"/>
  <c r="R69" i="4" s="1"/>
  <c r="B69" i="4"/>
  <c r="Q69" i="4" s="1"/>
  <c r="J68" i="4"/>
  <c r="F68" i="4"/>
  <c r="U68" i="4" s="1"/>
  <c r="E68" i="4"/>
  <c r="T68" i="4" s="1"/>
  <c r="D68" i="4"/>
  <c r="I68" i="4" s="1"/>
  <c r="C68" i="4"/>
  <c r="H68" i="4" s="1"/>
  <c r="B68" i="4"/>
  <c r="Q68" i="4" s="1"/>
  <c r="G67" i="4"/>
  <c r="F67" i="4"/>
  <c r="U67" i="4" s="1"/>
  <c r="E67" i="4"/>
  <c r="T67" i="4" s="1"/>
  <c r="D67" i="4"/>
  <c r="I67" i="4" s="1"/>
  <c r="C67" i="4"/>
  <c r="R67" i="4" s="1"/>
  <c r="B67" i="4"/>
  <c r="Q67" i="4" s="1"/>
  <c r="T66" i="4"/>
  <c r="F66" i="4"/>
  <c r="K66" i="4" s="1"/>
  <c r="V66" i="4" s="1"/>
  <c r="E66" i="4"/>
  <c r="J66" i="4" s="1"/>
  <c r="D66" i="4"/>
  <c r="I66" i="4" s="1"/>
  <c r="C66" i="4"/>
  <c r="H66" i="4" s="1"/>
  <c r="B66" i="4"/>
  <c r="Q66" i="4" s="1"/>
  <c r="F65" i="4"/>
  <c r="K65" i="4" s="1"/>
  <c r="V65" i="4" s="1"/>
  <c r="E65" i="4"/>
  <c r="T65" i="4" s="1"/>
  <c r="D65" i="4"/>
  <c r="I65" i="4" s="1"/>
  <c r="C65" i="4"/>
  <c r="R65" i="4" s="1"/>
  <c r="B65" i="4"/>
  <c r="Q65" i="4" s="1"/>
  <c r="F64" i="4"/>
  <c r="K64" i="4" s="1"/>
  <c r="V64" i="4" s="1"/>
  <c r="E64" i="4"/>
  <c r="T64" i="4" s="1"/>
  <c r="D64" i="4"/>
  <c r="I64" i="4" s="1"/>
  <c r="C64" i="4"/>
  <c r="H64" i="4" s="1"/>
  <c r="B64" i="4"/>
  <c r="Q64" i="4" s="1"/>
  <c r="F63" i="4"/>
  <c r="U63" i="4" s="1"/>
  <c r="E63" i="4"/>
  <c r="T63" i="4" s="1"/>
  <c r="D63" i="4"/>
  <c r="I63" i="4" s="1"/>
  <c r="C63" i="4"/>
  <c r="R63" i="4" s="1"/>
  <c r="B63" i="4"/>
  <c r="Q63" i="4" s="1"/>
  <c r="F62" i="4"/>
  <c r="U62" i="4" s="1"/>
  <c r="E62" i="4"/>
  <c r="T62" i="4" s="1"/>
  <c r="D62" i="4"/>
  <c r="I62" i="4" s="1"/>
  <c r="C62" i="4"/>
  <c r="H62" i="4" s="1"/>
  <c r="B62" i="4"/>
  <c r="Q62" i="4" s="1"/>
  <c r="F61" i="4"/>
  <c r="K61" i="4" s="1"/>
  <c r="V61" i="4" s="1"/>
  <c r="E61" i="4"/>
  <c r="T61" i="4" s="1"/>
  <c r="D61" i="4"/>
  <c r="I61" i="4" s="1"/>
  <c r="C61" i="4"/>
  <c r="R61" i="4" s="1"/>
  <c r="B61" i="4"/>
  <c r="Q61" i="4" s="1"/>
  <c r="K60" i="4"/>
  <c r="V60" i="4" s="1"/>
  <c r="F60" i="4"/>
  <c r="U60" i="4" s="1"/>
  <c r="E60" i="4"/>
  <c r="T60" i="4" s="1"/>
  <c r="D60" i="4"/>
  <c r="I60" i="4" s="1"/>
  <c r="C60" i="4"/>
  <c r="R60" i="4" s="1"/>
  <c r="B60" i="4"/>
  <c r="Q60" i="4" s="1"/>
  <c r="F59" i="4"/>
  <c r="U59" i="4" s="1"/>
  <c r="E59" i="4"/>
  <c r="T59" i="4" s="1"/>
  <c r="D59" i="4"/>
  <c r="I59" i="4" s="1"/>
  <c r="C59" i="4"/>
  <c r="R59" i="4" s="1"/>
  <c r="B59" i="4"/>
  <c r="Q59" i="4" s="1"/>
  <c r="F58" i="4"/>
  <c r="K58" i="4" s="1"/>
  <c r="V58" i="4" s="1"/>
  <c r="E58" i="4"/>
  <c r="J58" i="4" s="1"/>
  <c r="D58" i="4"/>
  <c r="I58" i="4" s="1"/>
  <c r="C58" i="4"/>
  <c r="H58" i="4" s="1"/>
  <c r="B58" i="4"/>
  <c r="Q58" i="4" s="1"/>
  <c r="F57" i="4"/>
  <c r="K57" i="4" s="1"/>
  <c r="V57" i="4" s="1"/>
  <c r="E57" i="4"/>
  <c r="T57" i="4" s="1"/>
  <c r="D57" i="4"/>
  <c r="I57" i="4" s="1"/>
  <c r="C57" i="4"/>
  <c r="R57" i="4" s="1"/>
  <c r="B57" i="4"/>
  <c r="Q57" i="4" s="1"/>
  <c r="F56" i="4"/>
  <c r="K56" i="4" s="1"/>
  <c r="V56" i="4" s="1"/>
  <c r="E56" i="4"/>
  <c r="T56" i="4" s="1"/>
  <c r="D56" i="4"/>
  <c r="I56" i="4" s="1"/>
  <c r="C56" i="4"/>
  <c r="H56" i="4" s="1"/>
  <c r="B56" i="4"/>
  <c r="Q56" i="4" s="1"/>
  <c r="F55" i="4"/>
  <c r="U55" i="4" s="1"/>
  <c r="E55" i="4"/>
  <c r="T55" i="4" s="1"/>
  <c r="D55" i="4"/>
  <c r="I55" i="4" s="1"/>
  <c r="C55" i="4"/>
  <c r="R55" i="4" s="1"/>
  <c r="B55" i="4"/>
  <c r="Q55" i="4" s="1"/>
  <c r="F54" i="4"/>
  <c r="K54" i="4" s="1"/>
  <c r="V54" i="4" s="1"/>
  <c r="E54" i="4"/>
  <c r="T54" i="4" s="1"/>
  <c r="D54" i="4"/>
  <c r="I54" i="4" s="1"/>
  <c r="C54" i="4"/>
  <c r="H54" i="4" s="1"/>
  <c r="B54" i="4"/>
  <c r="Q54" i="4" s="1"/>
  <c r="F53" i="4"/>
  <c r="K53" i="4" s="1"/>
  <c r="V53" i="4" s="1"/>
  <c r="E53" i="4"/>
  <c r="T53" i="4" s="1"/>
  <c r="D53" i="4"/>
  <c r="I53" i="4" s="1"/>
  <c r="C53" i="4"/>
  <c r="R53" i="4" s="1"/>
  <c r="B53" i="4"/>
  <c r="Q53" i="4" s="1"/>
  <c r="J52" i="4"/>
  <c r="F52" i="4"/>
  <c r="K52" i="4" s="1"/>
  <c r="V52" i="4" s="1"/>
  <c r="E52" i="4"/>
  <c r="T52" i="4" s="1"/>
  <c r="D52" i="4"/>
  <c r="I52" i="4" s="1"/>
  <c r="C52" i="4"/>
  <c r="H52" i="4" s="1"/>
  <c r="B52" i="4"/>
  <c r="Q52" i="4" s="1"/>
  <c r="F51" i="4"/>
  <c r="U51" i="4" s="1"/>
  <c r="E51" i="4"/>
  <c r="T51" i="4" s="1"/>
  <c r="D51" i="4"/>
  <c r="I51" i="4" s="1"/>
  <c r="C51" i="4"/>
  <c r="R51" i="4" s="1"/>
  <c r="B51" i="4"/>
  <c r="Q51" i="4" s="1"/>
  <c r="F50" i="4"/>
  <c r="K50" i="4" s="1"/>
  <c r="V50" i="4" s="1"/>
  <c r="E50" i="4"/>
  <c r="J50" i="4" s="1"/>
  <c r="D50" i="4"/>
  <c r="I50" i="4" s="1"/>
  <c r="C50" i="4"/>
  <c r="H50" i="4" s="1"/>
  <c r="B50" i="4"/>
  <c r="Q50" i="4" s="1"/>
  <c r="G49" i="4"/>
  <c r="F49" i="4"/>
  <c r="K49" i="4" s="1"/>
  <c r="V49" i="4" s="1"/>
  <c r="E49" i="4"/>
  <c r="T49" i="4" s="1"/>
  <c r="D49" i="4"/>
  <c r="I49" i="4" s="1"/>
  <c r="C49" i="4"/>
  <c r="R49" i="4" s="1"/>
  <c r="B49" i="4"/>
  <c r="Q49" i="4" s="1"/>
  <c r="F48" i="4"/>
  <c r="U48" i="4" s="1"/>
  <c r="E48" i="4"/>
  <c r="T48" i="4" s="1"/>
  <c r="D48" i="4"/>
  <c r="I48" i="4" s="1"/>
  <c r="C48" i="4"/>
  <c r="R48" i="4" s="1"/>
  <c r="B48" i="4"/>
  <c r="Q48" i="4" s="1"/>
  <c r="G47" i="4"/>
  <c r="F47" i="4"/>
  <c r="U47" i="4" s="1"/>
  <c r="E47" i="4"/>
  <c r="T47" i="4" s="1"/>
  <c r="D47" i="4"/>
  <c r="I47" i="4" s="1"/>
  <c r="C47" i="4"/>
  <c r="R47" i="4" s="1"/>
  <c r="B47" i="4"/>
  <c r="Q47" i="4" s="1"/>
  <c r="T46" i="4"/>
  <c r="F46" i="4"/>
  <c r="U46" i="4" s="1"/>
  <c r="E46" i="4"/>
  <c r="J46" i="4" s="1"/>
  <c r="D46" i="4"/>
  <c r="I46" i="4" s="1"/>
  <c r="C46" i="4"/>
  <c r="H46" i="4" s="1"/>
  <c r="B46" i="4"/>
  <c r="Q46" i="4" s="1"/>
  <c r="H45" i="4"/>
  <c r="F45" i="4"/>
  <c r="U45" i="4" s="1"/>
  <c r="E45" i="4"/>
  <c r="T45" i="4" s="1"/>
  <c r="D45" i="4"/>
  <c r="I45" i="4" s="1"/>
  <c r="C45" i="4"/>
  <c r="R45" i="4" s="1"/>
  <c r="B45" i="4"/>
  <c r="Q45" i="4" s="1"/>
  <c r="T44" i="4"/>
  <c r="F44" i="4"/>
  <c r="K44" i="4" s="1"/>
  <c r="V44" i="4" s="1"/>
  <c r="E44" i="4"/>
  <c r="J44" i="4" s="1"/>
  <c r="D44" i="4"/>
  <c r="I44" i="4" s="1"/>
  <c r="C44" i="4"/>
  <c r="H44" i="4" s="1"/>
  <c r="B44" i="4"/>
  <c r="Q44" i="4" s="1"/>
  <c r="K43" i="4"/>
  <c r="V43" i="4" s="1"/>
  <c r="F43" i="4"/>
  <c r="U43" i="4" s="1"/>
  <c r="E43" i="4"/>
  <c r="T43" i="4" s="1"/>
  <c r="D43" i="4"/>
  <c r="C43" i="4"/>
  <c r="R43" i="4" s="1"/>
  <c r="B43" i="4"/>
  <c r="Q43" i="4" s="1"/>
  <c r="F42" i="4"/>
  <c r="K42" i="4" s="1"/>
  <c r="V42" i="4" s="1"/>
  <c r="E42" i="4"/>
  <c r="J42" i="4" s="1"/>
  <c r="D42" i="4"/>
  <c r="C42" i="4"/>
  <c r="H42" i="4" s="1"/>
  <c r="B42" i="4"/>
  <c r="Q42" i="4" s="1"/>
  <c r="F41" i="4"/>
  <c r="U41" i="4" s="1"/>
  <c r="E41" i="4"/>
  <c r="T41" i="4" s="1"/>
  <c r="D41" i="4"/>
  <c r="C41" i="4"/>
  <c r="H41" i="4" s="1"/>
  <c r="B41" i="4"/>
  <c r="G41" i="4" s="1"/>
  <c r="F40" i="4"/>
  <c r="K40" i="4" s="1"/>
  <c r="V40" i="4" s="1"/>
  <c r="E40" i="4"/>
  <c r="D40" i="4"/>
  <c r="S40" i="4" s="1"/>
  <c r="C40" i="4"/>
  <c r="R40" i="4" s="1"/>
  <c r="B40" i="4"/>
  <c r="G40" i="4" s="1"/>
  <c r="F39" i="4"/>
  <c r="K39" i="4" s="1"/>
  <c r="V39" i="4" s="1"/>
  <c r="E39" i="4"/>
  <c r="D39" i="4"/>
  <c r="S39" i="4" s="1"/>
  <c r="C39" i="4"/>
  <c r="R39" i="4" s="1"/>
  <c r="B39" i="4"/>
  <c r="Q39" i="4" s="1"/>
  <c r="U38" i="4"/>
  <c r="F38" i="4"/>
  <c r="K38" i="4" s="1"/>
  <c r="V38" i="4" s="1"/>
  <c r="E38" i="4"/>
  <c r="D38" i="4"/>
  <c r="S38" i="4" s="1"/>
  <c r="C38" i="4"/>
  <c r="H38" i="4" s="1"/>
  <c r="B38" i="4"/>
  <c r="Q38" i="4" s="1"/>
  <c r="F37" i="4"/>
  <c r="U37" i="4" s="1"/>
  <c r="E37" i="4"/>
  <c r="D37" i="4"/>
  <c r="I37" i="4" s="1"/>
  <c r="C37" i="4"/>
  <c r="R37" i="4" s="1"/>
  <c r="B37" i="4"/>
  <c r="Q37" i="4" s="1"/>
  <c r="F36" i="4"/>
  <c r="K36" i="4" s="1"/>
  <c r="V36" i="4" s="1"/>
  <c r="E36" i="4"/>
  <c r="D36" i="4"/>
  <c r="S36" i="4" s="1"/>
  <c r="C36" i="4"/>
  <c r="R36" i="4" s="1"/>
  <c r="B36" i="4"/>
  <c r="G36" i="4" s="1"/>
  <c r="F35" i="4"/>
  <c r="K35" i="4" s="1"/>
  <c r="V35" i="4" s="1"/>
  <c r="E35" i="4"/>
  <c r="D35" i="4"/>
  <c r="S35" i="4" s="1"/>
  <c r="C35" i="4"/>
  <c r="R35" i="4" s="1"/>
  <c r="B35" i="4"/>
  <c r="G35" i="4" s="1"/>
  <c r="F34" i="4"/>
  <c r="K34" i="4" s="1"/>
  <c r="V34" i="4" s="1"/>
  <c r="E34" i="4"/>
  <c r="D34" i="4"/>
  <c r="I34" i="4" s="1"/>
  <c r="C34" i="4"/>
  <c r="H34" i="4" s="1"/>
  <c r="B34" i="4"/>
  <c r="Q34" i="4" s="1"/>
  <c r="F33" i="4"/>
  <c r="U33" i="4" s="1"/>
  <c r="E33" i="4"/>
  <c r="D33" i="4"/>
  <c r="I33" i="4" s="1"/>
  <c r="C33" i="4"/>
  <c r="R33" i="4" s="1"/>
  <c r="B33" i="4"/>
  <c r="Q33" i="4" s="1"/>
  <c r="F32" i="4"/>
  <c r="U32" i="4" s="1"/>
  <c r="E32" i="4"/>
  <c r="D32" i="4"/>
  <c r="S32" i="4" s="1"/>
  <c r="C32" i="4"/>
  <c r="R32" i="4" s="1"/>
  <c r="B32" i="4"/>
  <c r="G32" i="4" s="1"/>
  <c r="F31" i="4"/>
  <c r="K31" i="4" s="1"/>
  <c r="V31" i="4" s="1"/>
  <c r="E31" i="4"/>
  <c r="D31" i="4"/>
  <c r="S31" i="4" s="1"/>
  <c r="C31" i="4"/>
  <c r="R31" i="4" s="1"/>
  <c r="B31" i="4"/>
  <c r="Q31" i="4" s="1"/>
  <c r="F30" i="4"/>
  <c r="U30" i="4" s="1"/>
  <c r="E30" i="4"/>
  <c r="D30" i="4"/>
  <c r="I30" i="4" s="1"/>
  <c r="C30" i="4"/>
  <c r="H30" i="4" s="1"/>
  <c r="B30" i="4"/>
  <c r="Q30" i="4" s="1"/>
  <c r="F29" i="4"/>
  <c r="U29" i="4" s="1"/>
  <c r="E29" i="4"/>
  <c r="D29" i="4"/>
  <c r="I29" i="4" s="1"/>
  <c r="C29" i="4"/>
  <c r="R29" i="4" s="1"/>
  <c r="B29" i="4"/>
  <c r="Q29" i="4" s="1"/>
  <c r="F28" i="4"/>
  <c r="K28" i="4" s="1"/>
  <c r="V28" i="4" s="1"/>
  <c r="E28" i="4"/>
  <c r="D28" i="4"/>
  <c r="I28" i="4" s="1"/>
  <c r="C28" i="4"/>
  <c r="R28" i="4" s="1"/>
  <c r="B28" i="4"/>
  <c r="G28" i="4" s="1"/>
  <c r="F27" i="4"/>
  <c r="K27" i="4" s="1"/>
  <c r="V27" i="4" s="1"/>
  <c r="E27" i="4"/>
  <c r="D27" i="4"/>
  <c r="S27" i="4" s="1"/>
  <c r="C27" i="4"/>
  <c r="R27" i="4" s="1"/>
  <c r="B27" i="4"/>
  <c r="Q27" i="4" s="1"/>
  <c r="R26" i="4"/>
  <c r="F26" i="4"/>
  <c r="K26" i="4" s="1"/>
  <c r="V26" i="4" s="1"/>
  <c r="E26" i="4"/>
  <c r="D26" i="4"/>
  <c r="I26" i="4" s="1"/>
  <c r="C26" i="4"/>
  <c r="H26" i="4" s="1"/>
  <c r="B26" i="4"/>
  <c r="Q26" i="4" s="1"/>
  <c r="F25" i="4"/>
  <c r="U25" i="4" s="1"/>
  <c r="E25" i="4"/>
  <c r="D25" i="4"/>
  <c r="I25" i="4" s="1"/>
  <c r="C25" i="4"/>
  <c r="R25" i="4" s="1"/>
  <c r="B25" i="4"/>
  <c r="Q25" i="4" s="1"/>
  <c r="I24" i="4"/>
  <c r="F24" i="4"/>
  <c r="U24" i="4" s="1"/>
  <c r="E24" i="4"/>
  <c r="D24" i="4"/>
  <c r="S24" i="4" s="1"/>
  <c r="C24" i="4"/>
  <c r="R24" i="4" s="1"/>
  <c r="B24" i="4"/>
  <c r="G24" i="4" s="1"/>
  <c r="F23" i="4"/>
  <c r="K23" i="4" s="1"/>
  <c r="V23" i="4" s="1"/>
  <c r="E23" i="4"/>
  <c r="D23" i="4"/>
  <c r="S23" i="4" s="1"/>
  <c r="C23" i="4"/>
  <c r="R23" i="4" s="1"/>
  <c r="B23" i="4"/>
  <c r="G23" i="4" s="1"/>
  <c r="F22" i="4"/>
  <c r="U22" i="4" s="1"/>
  <c r="E22" i="4"/>
  <c r="D22" i="4"/>
  <c r="I22" i="4" s="1"/>
  <c r="C22" i="4"/>
  <c r="H22" i="4" s="1"/>
  <c r="B22" i="4"/>
  <c r="Q22" i="4" s="1"/>
  <c r="F21" i="4"/>
  <c r="U21" i="4" s="1"/>
  <c r="E21" i="4"/>
  <c r="D21" i="4"/>
  <c r="I21" i="4" s="1"/>
  <c r="C21" i="4"/>
  <c r="R21" i="4" s="1"/>
  <c r="B21" i="4"/>
  <c r="Q21" i="4" s="1"/>
  <c r="F20" i="4"/>
  <c r="U20" i="4" s="1"/>
  <c r="E20" i="4"/>
  <c r="D20" i="4"/>
  <c r="I20" i="4" s="1"/>
  <c r="C20" i="4"/>
  <c r="R20" i="4" s="1"/>
  <c r="B20" i="4"/>
  <c r="G20" i="4" s="1"/>
  <c r="F19" i="4"/>
  <c r="K19" i="4" s="1"/>
  <c r="V19" i="4" s="1"/>
  <c r="E19" i="4"/>
  <c r="D19" i="4"/>
  <c r="S19" i="4" s="1"/>
  <c r="C19" i="4"/>
  <c r="H19" i="4" s="1"/>
  <c r="B19" i="4"/>
  <c r="Q19" i="4" s="1"/>
  <c r="F18" i="4"/>
  <c r="U18" i="4" s="1"/>
  <c r="E18" i="4"/>
  <c r="D18" i="4"/>
  <c r="S18" i="4" s="1"/>
  <c r="C18" i="4"/>
  <c r="H18" i="4" s="1"/>
  <c r="B18" i="4"/>
  <c r="Q18" i="4" s="1"/>
  <c r="K17" i="4"/>
  <c r="V17" i="4" s="1"/>
  <c r="F17" i="4"/>
  <c r="U17" i="4" s="1"/>
  <c r="E17" i="4"/>
  <c r="D17" i="4"/>
  <c r="I17" i="4" s="1"/>
  <c r="C17" i="4"/>
  <c r="R17" i="4" s="1"/>
  <c r="B17" i="4"/>
  <c r="Q17" i="4" s="1"/>
  <c r="K16" i="4"/>
  <c r="V16" i="4" s="1"/>
  <c r="F16" i="4"/>
  <c r="U16" i="4" s="1"/>
  <c r="E16" i="4"/>
  <c r="D16" i="4"/>
  <c r="I16" i="4" s="1"/>
  <c r="C16" i="4"/>
  <c r="R16" i="4" s="1"/>
  <c r="B16" i="4"/>
  <c r="Q16" i="4" s="1"/>
  <c r="F15" i="4"/>
  <c r="K15" i="4" s="1"/>
  <c r="V15" i="4" s="1"/>
  <c r="E15" i="4"/>
  <c r="D15" i="4"/>
  <c r="S15" i="4" s="1"/>
  <c r="C15" i="4"/>
  <c r="R15" i="4" s="1"/>
  <c r="B15" i="4"/>
  <c r="Q15" i="4" s="1"/>
  <c r="F14" i="4"/>
  <c r="U14" i="4" s="1"/>
  <c r="E14" i="4"/>
  <c r="D14" i="4"/>
  <c r="I14" i="4" s="1"/>
  <c r="C14" i="4"/>
  <c r="H14" i="4" s="1"/>
  <c r="B14" i="4"/>
  <c r="G14" i="4" s="1"/>
  <c r="F13" i="4"/>
  <c r="U13" i="4" s="1"/>
  <c r="E13" i="4"/>
  <c r="D13" i="4"/>
  <c r="I13" i="4" s="1"/>
  <c r="C13" i="4"/>
  <c r="H13" i="4" s="1"/>
  <c r="B13" i="4"/>
  <c r="Q13" i="4" s="1"/>
  <c r="F12" i="4"/>
  <c r="K12" i="4" s="1"/>
  <c r="V12" i="4" s="1"/>
  <c r="E12" i="4"/>
  <c r="D12" i="4"/>
  <c r="S12" i="4" s="1"/>
  <c r="C12" i="4"/>
  <c r="R12" i="4" s="1"/>
  <c r="B12" i="4"/>
  <c r="G12" i="4" s="1"/>
  <c r="F11" i="4"/>
  <c r="K11" i="4" s="1"/>
  <c r="V11" i="4" s="1"/>
  <c r="E11" i="4"/>
  <c r="D11" i="4"/>
  <c r="S11" i="4" s="1"/>
  <c r="C11" i="4"/>
  <c r="R11" i="4" s="1"/>
  <c r="B11" i="4"/>
  <c r="Q11" i="4" s="1"/>
  <c r="F10" i="4"/>
  <c r="K10" i="4" s="1"/>
  <c r="V10" i="4" s="1"/>
  <c r="E10" i="4"/>
  <c r="D10" i="4"/>
  <c r="S10" i="4" s="1"/>
  <c r="C10" i="4"/>
  <c r="H10" i="4" s="1"/>
  <c r="B10" i="4"/>
  <c r="Q10" i="4" s="1"/>
  <c r="K9" i="4"/>
  <c r="V9" i="4" s="1"/>
  <c r="F9" i="4"/>
  <c r="U9" i="4" s="1"/>
  <c r="E9" i="4"/>
  <c r="D9" i="4"/>
  <c r="S9" i="4" s="1"/>
  <c r="C9" i="4"/>
  <c r="H9" i="4" s="1"/>
  <c r="B9" i="4"/>
  <c r="G9" i="4" s="1"/>
  <c r="H8" i="4"/>
  <c r="F8" i="4"/>
  <c r="U8" i="4" s="1"/>
  <c r="E8" i="4"/>
  <c r="D8" i="4"/>
  <c r="S8" i="4" s="1"/>
  <c r="C8" i="4"/>
  <c r="R8" i="4" s="1"/>
  <c r="B8" i="4"/>
  <c r="Q8" i="4" s="1"/>
  <c r="F7" i="4"/>
  <c r="K7" i="4" s="1"/>
  <c r="V7" i="4" s="1"/>
  <c r="E7" i="4"/>
  <c r="D7" i="4"/>
  <c r="I7" i="4" s="1"/>
  <c r="C7" i="4"/>
  <c r="R7" i="4" s="1"/>
  <c r="B7" i="4"/>
  <c r="G7" i="4" s="1"/>
  <c r="F6" i="4"/>
  <c r="K6" i="4" s="1"/>
  <c r="V6" i="4" s="1"/>
  <c r="E6" i="4"/>
  <c r="D6" i="4"/>
  <c r="I6" i="4" s="1"/>
  <c r="C6" i="4"/>
  <c r="H6" i="4" s="1"/>
  <c r="B6" i="4"/>
  <c r="G6" i="4" s="1"/>
  <c r="F5" i="4"/>
  <c r="U5" i="4" s="1"/>
  <c r="E5" i="4"/>
  <c r="D5" i="4"/>
  <c r="S5" i="4" s="1"/>
  <c r="C5" i="4"/>
  <c r="R5" i="4" s="1"/>
  <c r="B5" i="4"/>
  <c r="G5" i="4" s="1"/>
  <c r="F4" i="4"/>
  <c r="U4" i="4" s="1"/>
  <c r="E4" i="4"/>
  <c r="D4" i="4"/>
  <c r="I4" i="4" s="1"/>
  <c r="C4" i="4"/>
  <c r="H4" i="4" s="1"/>
  <c r="B4" i="4"/>
  <c r="Q4" i="4" s="1"/>
  <c r="A1" i="4"/>
  <c r="F196" i="3"/>
  <c r="E196" i="3"/>
  <c r="D196" i="3"/>
  <c r="C196" i="3"/>
  <c r="B196" i="3"/>
  <c r="F195" i="3"/>
  <c r="E195" i="3"/>
  <c r="D195" i="3"/>
  <c r="C195" i="3"/>
  <c r="B195" i="3"/>
  <c r="F194" i="3"/>
  <c r="E194" i="3"/>
  <c r="D194" i="3"/>
  <c r="C194" i="3"/>
  <c r="B194" i="3"/>
  <c r="F193" i="3"/>
  <c r="E193" i="3"/>
  <c r="D193" i="3"/>
  <c r="C193" i="3"/>
  <c r="B193" i="3"/>
  <c r="F192" i="3"/>
  <c r="E192" i="3"/>
  <c r="D192" i="3"/>
  <c r="C192" i="3"/>
  <c r="B192" i="3"/>
  <c r="F191" i="3"/>
  <c r="E191" i="3"/>
  <c r="D191" i="3"/>
  <c r="C191" i="3"/>
  <c r="B191" i="3"/>
  <c r="F190" i="3"/>
  <c r="E190" i="3"/>
  <c r="D190" i="3"/>
  <c r="C190" i="3"/>
  <c r="B190" i="3"/>
  <c r="F189" i="3"/>
  <c r="E189" i="3"/>
  <c r="D189" i="3"/>
  <c r="C189" i="3"/>
  <c r="B189" i="3"/>
  <c r="F188" i="3"/>
  <c r="E188" i="3"/>
  <c r="D188" i="3"/>
  <c r="C188" i="3"/>
  <c r="B188" i="3"/>
  <c r="F187" i="3"/>
  <c r="E187" i="3"/>
  <c r="D187" i="3"/>
  <c r="C187" i="3"/>
  <c r="B187" i="3"/>
  <c r="F186" i="3"/>
  <c r="E186" i="3"/>
  <c r="D186" i="3"/>
  <c r="C186" i="3"/>
  <c r="B186" i="3"/>
  <c r="F185" i="3"/>
  <c r="E185" i="3"/>
  <c r="D185" i="3"/>
  <c r="C185" i="3"/>
  <c r="B185" i="3"/>
  <c r="F184" i="3"/>
  <c r="E184" i="3"/>
  <c r="D184" i="3"/>
  <c r="C184" i="3"/>
  <c r="B184" i="3"/>
  <c r="F183" i="3"/>
  <c r="E183" i="3"/>
  <c r="D183" i="3"/>
  <c r="C183" i="3"/>
  <c r="B183" i="3"/>
  <c r="F182" i="3"/>
  <c r="E182" i="3"/>
  <c r="D182" i="3"/>
  <c r="C182" i="3"/>
  <c r="B182" i="3"/>
  <c r="F181" i="3"/>
  <c r="E181" i="3"/>
  <c r="D181" i="3"/>
  <c r="C181" i="3"/>
  <c r="B181" i="3"/>
  <c r="F180" i="3"/>
  <c r="E180" i="3"/>
  <c r="D180" i="3"/>
  <c r="C180" i="3"/>
  <c r="B180" i="3"/>
  <c r="F179" i="3"/>
  <c r="E179" i="3"/>
  <c r="D179" i="3"/>
  <c r="C179" i="3"/>
  <c r="B179" i="3"/>
  <c r="F178" i="3"/>
  <c r="E178" i="3"/>
  <c r="D178" i="3"/>
  <c r="C178" i="3"/>
  <c r="B178" i="3"/>
  <c r="F177" i="3"/>
  <c r="E177" i="3"/>
  <c r="D177" i="3"/>
  <c r="C177" i="3"/>
  <c r="B177" i="3"/>
  <c r="F176" i="3"/>
  <c r="E176" i="3"/>
  <c r="D176" i="3"/>
  <c r="C176" i="3"/>
  <c r="B176" i="3"/>
  <c r="F175" i="3"/>
  <c r="E175" i="3"/>
  <c r="D175" i="3"/>
  <c r="C175" i="3"/>
  <c r="B175" i="3"/>
  <c r="F174" i="3"/>
  <c r="E174" i="3"/>
  <c r="D174" i="3"/>
  <c r="C174" i="3"/>
  <c r="B174" i="3"/>
  <c r="F173" i="3"/>
  <c r="E173" i="3"/>
  <c r="D173" i="3"/>
  <c r="C173" i="3"/>
  <c r="B173" i="3"/>
  <c r="F172" i="3"/>
  <c r="E172" i="3"/>
  <c r="D172" i="3"/>
  <c r="C172" i="3"/>
  <c r="B172" i="3"/>
  <c r="F171" i="3"/>
  <c r="E171" i="3"/>
  <c r="D171" i="3"/>
  <c r="C171" i="3"/>
  <c r="B171" i="3"/>
  <c r="F170" i="3"/>
  <c r="E170" i="3"/>
  <c r="D170" i="3"/>
  <c r="C170" i="3"/>
  <c r="B170" i="3"/>
  <c r="F169" i="3"/>
  <c r="E169" i="3"/>
  <c r="D169" i="3"/>
  <c r="C169" i="3"/>
  <c r="B169" i="3"/>
  <c r="F168" i="3"/>
  <c r="E168" i="3"/>
  <c r="D168" i="3"/>
  <c r="C168" i="3"/>
  <c r="B168" i="3"/>
  <c r="F167" i="3"/>
  <c r="E167" i="3"/>
  <c r="D167" i="3"/>
  <c r="C167" i="3"/>
  <c r="B167" i="3"/>
  <c r="F166" i="3"/>
  <c r="E166" i="3"/>
  <c r="D166" i="3"/>
  <c r="C166" i="3"/>
  <c r="B166" i="3"/>
  <c r="F165" i="3"/>
  <c r="E165" i="3"/>
  <c r="D165" i="3"/>
  <c r="C165" i="3"/>
  <c r="B165" i="3"/>
  <c r="F164" i="3"/>
  <c r="E164" i="3"/>
  <c r="D164" i="3"/>
  <c r="C164" i="3"/>
  <c r="B164" i="3"/>
  <c r="F163" i="3"/>
  <c r="E163" i="3"/>
  <c r="D163" i="3"/>
  <c r="C163" i="3"/>
  <c r="B163" i="3"/>
  <c r="F162" i="3"/>
  <c r="E162" i="3"/>
  <c r="D162" i="3"/>
  <c r="C162" i="3"/>
  <c r="B162" i="3"/>
  <c r="F161" i="3"/>
  <c r="E161" i="3"/>
  <c r="D161" i="3"/>
  <c r="C161" i="3"/>
  <c r="B161" i="3"/>
  <c r="F160" i="3"/>
  <c r="E160" i="3"/>
  <c r="D160" i="3"/>
  <c r="C160" i="3"/>
  <c r="B160" i="3"/>
  <c r="F159" i="3"/>
  <c r="E159" i="3"/>
  <c r="D159" i="3"/>
  <c r="C159" i="3"/>
  <c r="B159" i="3"/>
  <c r="F158" i="3"/>
  <c r="E158" i="3"/>
  <c r="D158" i="3"/>
  <c r="C158" i="3"/>
  <c r="B158" i="3"/>
  <c r="F157" i="3"/>
  <c r="E157" i="3"/>
  <c r="D157" i="3"/>
  <c r="C157" i="3"/>
  <c r="B157" i="3"/>
  <c r="F156" i="3"/>
  <c r="E156" i="3"/>
  <c r="D156" i="3"/>
  <c r="C156" i="3"/>
  <c r="B156" i="3"/>
  <c r="F155" i="3"/>
  <c r="E155" i="3"/>
  <c r="D155" i="3"/>
  <c r="C155" i="3"/>
  <c r="B155" i="3"/>
  <c r="F154" i="3"/>
  <c r="E154" i="3"/>
  <c r="D154" i="3"/>
  <c r="C154" i="3"/>
  <c r="B154" i="3"/>
  <c r="F153" i="3"/>
  <c r="E153" i="3"/>
  <c r="D153" i="3"/>
  <c r="C153" i="3"/>
  <c r="B153" i="3"/>
  <c r="F152" i="3"/>
  <c r="E152" i="3"/>
  <c r="D152" i="3"/>
  <c r="C152" i="3"/>
  <c r="B152" i="3"/>
  <c r="F151" i="3"/>
  <c r="E151" i="3"/>
  <c r="D151" i="3"/>
  <c r="C151" i="3"/>
  <c r="B151" i="3"/>
  <c r="F150" i="3"/>
  <c r="E150" i="3"/>
  <c r="D150" i="3"/>
  <c r="C150" i="3"/>
  <c r="B150" i="3"/>
  <c r="F149" i="3"/>
  <c r="E149" i="3"/>
  <c r="D149" i="3"/>
  <c r="C149" i="3"/>
  <c r="B149" i="3"/>
  <c r="F148" i="3"/>
  <c r="E148" i="3"/>
  <c r="D148" i="3"/>
  <c r="C148" i="3"/>
  <c r="B148" i="3"/>
  <c r="F147" i="3"/>
  <c r="E147" i="3"/>
  <c r="D147" i="3"/>
  <c r="C147" i="3"/>
  <c r="B147" i="3"/>
  <c r="F146" i="3"/>
  <c r="E146" i="3"/>
  <c r="D146" i="3"/>
  <c r="C146" i="3"/>
  <c r="B146" i="3"/>
  <c r="F145" i="3"/>
  <c r="E145" i="3"/>
  <c r="D145" i="3"/>
  <c r="C145" i="3"/>
  <c r="B145" i="3"/>
  <c r="F144" i="3"/>
  <c r="E144" i="3"/>
  <c r="D144" i="3"/>
  <c r="C144" i="3"/>
  <c r="B144" i="3"/>
  <c r="F143" i="3"/>
  <c r="E143" i="3"/>
  <c r="D143" i="3"/>
  <c r="C143" i="3"/>
  <c r="B143" i="3"/>
  <c r="F142" i="3"/>
  <c r="E142" i="3"/>
  <c r="D142" i="3"/>
  <c r="C142" i="3"/>
  <c r="B142" i="3"/>
  <c r="F141" i="3"/>
  <c r="E141" i="3"/>
  <c r="D141" i="3"/>
  <c r="C141" i="3"/>
  <c r="B141" i="3"/>
  <c r="F140" i="3"/>
  <c r="E140" i="3"/>
  <c r="D140" i="3"/>
  <c r="C140" i="3"/>
  <c r="B140" i="3"/>
  <c r="F139" i="3"/>
  <c r="E139" i="3"/>
  <c r="D139" i="3"/>
  <c r="C139" i="3"/>
  <c r="B139" i="3"/>
  <c r="F138" i="3"/>
  <c r="E138" i="3"/>
  <c r="D138" i="3"/>
  <c r="C138" i="3"/>
  <c r="B138" i="3"/>
  <c r="F137" i="3"/>
  <c r="E137" i="3"/>
  <c r="D137" i="3"/>
  <c r="C137" i="3"/>
  <c r="B137" i="3"/>
  <c r="F136" i="3"/>
  <c r="E136" i="3"/>
  <c r="D136" i="3"/>
  <c r="C136" i="3"/>
  <c r="B136" i="3"/>
  <c r="F135" i="3"/>
  <c r="E135" i="3"/>
  <c r="D135" i="3"/>
  <c r="C135" i="3"/>
  <c r="B135" i="3"/>
  <c r="F134" i="3"/>
  <c r="E134" i="3"/>
  <c r="D134" i="3"/>
  <c r="C134" i="3"/>
  <c r="B134" i="3"/>
  <c r="F133" i="3"/>
  <c r="E133" i="3"/>
  <c r="D133" i="3"/>
  <c r="C133" i="3"/>
  <c r="B133" i="3"/>
  <c r="F132" i="3"/>
  <c r="E132" i="3"/>
  <c r="D132" i="3"/>
  <c r="C132" i="3"/>
  <c r="B132" i="3"/>
  <c r="F131" i="3"/>
  <c r="E131" i="3"/>
  <c r="D131" i="3"/>
  <c r="C131" i="3"/>
  <c r="B131" i="3"/>
  <c r="F130" i="3"/>
  <c r="E130" i="3"/>
  <c r="D130" i="3"/>
  <c r="C130" i="3"/>
  <c r="B130" i="3"/>
  <c r="F129" i="3"/>
  <c r="E129" i="3"/>
  <c r="D129" i="3"/>
  <c r="C129" i="3"/>
  <c r="B129" i="3"/>
  <c r="F128" i="3"/>
  <c r="E128" i="3"/>
  <c r="D128" i="3"/>
  <c r="C128" i="3"/>
  <c r="B128" i="3"/>
  <c r="F127" i="3"/>
  <c r="E127" i="3"/>
  <c r="D127" i="3"/>
  <c r="C127" i="3"/>
  <c r="B127" i="3"/>
  <c r="F126" i="3"/>
  <c r="E126" i="3"/>
  <c r="D126" i="3"/>
  <c r="C126" i="3"/>
  <c r="B126" i="3"/>
  <c r="F125" i="3"/>
  <c r="E125" i="3"/>
  <c r="D125" i="3"/>
  <c r="C125" i="3"/>
  <c r="B125" i="3"/>
  <c r="F124" i="3"/>
  <c r="E124" i="3"/>
  <c r="D124" i="3"/>
  <c r="C124" i="3"/>
  <c r="B124" i="3"/>
  <c r="F123" i="3"/>
  <c r="E123" i="3"/>
  <c r="D123" i="3"/>
  <c r="C123" i="3"/>
  <c r="B123" i="3"/>
  <c r="F122" i="3"/>
  <c r="E122" i="3"/>
  <c r="D122" i="3"/>
  <c r="C122" i="3"/>
  <c r="B122" i="3"/>
  <c r="F121" i="3"/>
  <c r="E121" i="3"/>
  <c r="D121" i="3"/>
  <c r="C121" i="3"/>
  <c r="B121" i="3"/>
  <c r="F120" i="3"/>
  <c r="E120" i="3"/>
  <c r="D120" i="3"/>
  <c r="C120" i="3"/>
  <c r="B120" i="3"/>
  <c r="F119" i="3"/>
  <c r="E119" i="3"/>
  <c r="D119" i="3"/>
  <c r="C119" i="3"/>
  <c r="B119" i="3"/>
  <c r="F118" i="3"/>
  <c r="E118" i="3"/>
  <c r="D118" i="3"/>
  <c r="C118" i="3"/>
  <c r="B118" i="3"/>
  <c r="F117" i="3"/>
  <c r="E117" i="3"/>
  <c r="D117" i="3"/>
  <c r="C117" i="3"/>
  <c r="B117" i="3"/>
  <c r="F116" i="3"/>
  <c r="E116" i="3"/>
  <c r="D116" i="3"/>
  <c r="C116" i="3"/>
  <c r="B116" i="3"/>
  <c r="F115" i="3"/>
  <c r="E115" i="3"/>
  <c r="D115" i="3"/>
  <c r="C115" i="3"/>
  <c r="B115" i="3"/>
  <c r="F114" i="3"/>
  <c r="E114" i="3"/>
  <c r="D114" i="3"/>
  <c r="C114" i="3"/>
  <c r="B114" i="3"/>
  <c r="F113" i="3"/>
  <c r="E113" i="3"/>
  <c r="D113" i="3"/>
  <c r="C113" i="3"/>
  <c r="B113" i="3"/>
  <c r="F112" i="3"/>
  <c r="E112" i="3"/>
  <c r="D112" i="3"/>
  <c r="C112" i="3"/>
  <c r="B112" i="3"/>
  <c r="F111" i="3"/>
  <c r="E111" i="3"/>
  <c r="D111" i="3"/>
  <c r="C111" i="3"/>
  <c r="B111" i="3"/>
  <c r="F110" i="3"/>
  <c r="E110" i="3"/>
  <c r="D110" i="3"/>
  <c r="C110" i="3"/>
  <c r="B110" i="3"/>
  <c r="F109" i="3"/>
  <c r="E109" i="3"/>
  <c r="D109" i="3"/>
  <c r="C109" i="3"/>
  <c r="B109" i="3"/>
  <c r="F108" i="3"/>
  <c r="E108" i="3"/>
  <c r="D108" i="3"/>
  <c r="C108" i="3"/>
  <c r="B108" i="3"/>
  <c r="F107" i="3"/>
  <c r="E107" i="3"/>
  <c r="D107" i="3"/>
  <c r="C107" i="3"/>
  <c r="B107" i="3"/>
  <c r="F106" i="3"/>
  <c r="E106" i="3"/>
  <c r="D106" i="3"/>
  <c r="C106" i="3"/>
  <c r="B106" i="3"/>
  <c r="F105" i="3"/>
  <c r="E105" i="3"/>
  <c r="D105" i="3"/>
  <c r="C105" i="3"/>
  <c r="B105" i="3"/>
  <c r="F104" i="3"/>
  <c r="E104" i="3"/>
  <c r="D104" i="3"/>
  <c r="C104" i="3"/>
  <c r="B104" i="3"/>
  <c r="F103" i="3"/>
  <c r="E103" i="3"/>
  <c r="D103" i="3"/>
  <c r="C103" i="3"/>
  <c r="B103" i="3"/>
  <c r="F102" i="3"/>
  <c r="E102" i="3"/>
  <c r="D102" i="3"/>
  <c r="C102" i="3"/>
  <c r="B102" i="3"/>
  <c r="F101" i="3"/>
  <c r="E101" i="3"/>
  <c r="D101" i="3"/>
  <c r="C101" i="3"/>
  <c r="B101" i="3"/>
  <c r="F100" i="3"/>
  <c r="E100" i="3"/>
  <c r="D100" i="3"/>
  <c r="C100" i="3"/>
  <c r="B100" i="3"/>
  <c r="F99" i="3"/>
  <c r="E99" i="3"/>
  <c r="D99" i="3"/>
  <c r="C99" i="3"/>
  <c r="B99" i="3"/>
  <c r="F98" i="3"/>
  <c r="E98" i="3"/>
  <c r="D98" i="3"/>
  <c r="C98" i="3"/>
  <c r="B98" i="3"/>
  <c r="F97" i="3"/>
  <c r="E97" i="3"/>
  <c r="D97" i="3"/>
  <c r="C97" i="3"/>
  <c r="B97" i="3"/>
  <c r="F96" i="3"/>
  <c r="E96" i="3"/>
  <c r="D96" i="3"/>
  <c r="C96" i="3"/>
  <c r="B96" i="3"/>
  <c r="F95" i="3"/>
  <c r="E95" i="3"/>
  <c r="D95" i="3"/>
  <c r="C95" i="3"/>
  <c r="B95" i="3"/>
  <c r="F94" i="3"/>
  <c r="E94" i="3"/>
  <c r="D94" i="3"/>
  <c r="C94" i="3"/>
  <c r="B94" i="3"/>
  <c r="F93" i="3"/>
  <c r="E93" i="3"/>
  <c r="D93" i="3"/>
  <c r="C93" i="3"/>
  <c r="B93" i="3"/>
  <c r="F92" i="3"/>
  <c r="E92" i="3"/>
  <c r="D92" i="3"/>
  <c r="C92" i="3"/>
  <c r="B92" i="3"/>
  <c r="F91" i="3"/>
  <c r="E91" i="3"/>
  <c r="D91" i="3"/>
  <c r="C91" i="3"/>
  <c r="B91" i="3"/>
  <c r="F90" i="3"/>
  <c r="E90" i="3"/>
  <c r="D90" i="3"/>
  <c r="C90" i="3"/>
  <c r="B90" i="3"/>
  <c r="F89" i="3"/>
  <c r="E89" i="3"/>
  <c r="D89" i="3"/>
  <c r="C89" i="3"/>
  <c r="B89" i="3"/>
  <c r="F88" i="3"/>
  <c r="E88" i="3"/>
  <c r="D88" i="3"/>
  <c r="C88" i="3"/>
  <c r="B88" i="3"/>
  <c r="F87" i="3"/>
  <c r="E87" i="3"/>
  <c r="D87" i="3"/>
  <c r="C87" i="3"/>
  <c r="B87" i="3"/>
  <c r="F86" i="3"/>
  <c r="E86" i="3"/>
  <c r="D86" i="3"/>
  <c r="C86" i="3"/>
  <c r="B86" i="3"/>
  <c r="F85" i="3"/>
  <c r="E85" i="3"/>
  <c r="D85" i="3"/>
  <c r="C85" i="3"/>
  <c r="B85" i="3"/>
  <c r="F84" i="3"/>
  <c r="E84" i="3"/>
  <c r="D84" i="3"/>
  <c r="C84" i="3"/>
  <c r="B84" i="3"/>
  <c r="F83" i="3"/>
  <c r="E83" i="3"/>
  <c r="D83" i="3"/>
  <c r="C83" i="3"/>
  <c r="B83" i="3"/>
  <c r="F82" i="3"/>
  <c r="E82" i="3"/>
  <c r="D82" i="3"/>
  <c r="C82" i="3"/>
  <c r="B82" i="3"/>
  <c r="F81" i="3"/>
  <c r="E81" i="3"/>
  <c r="D81" i="3"/>
  <c r="C81" i="3"/>
  <c r="B81" i="3"/>
  <c r="F80" i="3"/>
  <c r="E80" i="3"/>
  <c r="D80" i="3"/>
  <c r="C80" i="3"/>
  <c r="B80" i="3"/>
  <c r="F79" i="3"/>
  <c r="E79" i="3"/>
  <c r="D79" i="3"/>
  <c r="C79" i="3"/>
  <c r="B79" i="3"/>
  <c r="F78" i="3"/>
  <c r="E78" i="3"/>
  <c r="D78" i="3"/>
  <c r="C78" i="3"/>
  <c r="B78" i="3"/>
  <c r="F77" i="3"/>
  <c r="E77" i="3"/>
  <c r="D77" i="3"/>
  <c r="C77" i="3"/>
  <c r="B77" i="3"/>
  <c r="F76" i="3"/>
  <c r="E76" i="3"/>
  <c r="D76" i="3"/>
  <c r="C76" i="3"/>
  <c r="B76" i="3"/>
  <c r="F75" i="3"/>
  <c r="E75" i="3"/>
  <c r="D75" i="3"/>
  <c r="C75" i="3"/>
  <c r="B75" i="3"/>
  <c r="F74" i="3"/>
  <c r="E74" i="3"/>
  <c r="D74" i="3"/>
  <c r="C74" i="3"/>
  <c r="B74" i="3"/>
  <c r="F73" i="3"/>
  <c r="E73" i="3"/>
  <c r="D73" i="3"/>
  <c r="C73" i="3"/>
  <c r="B73" i="3"/>
  <c r="F72" i="3"/>
  <c r="E72" i="3"/>
  <c r="D72" i="3"/>
  <c r="C72" i="3"/>
  <c r="B72" i="3"/>
  <c r="F71" i="3"/>
  <c r="E71" i="3"/>
  <c r="D71" i="3"/>
  <c r="C71" i="3"/>
  <c r="B71" i="3"/>
  <c r="F70" i="3"/>
  <c r="E70" i="3"/>
  <c r="D70" i="3"/>
  <c r="C70" i="3"/>
  <c r="B70" i="3"/>
  <c r="F69" i="3"/>
  <c r="E69" i="3"/>
  <c r="D69" i="3"/>
  <c r="C69" i="3"/>
  <c r="B69" i="3"/>
  <c r="F68" i="3"/>
  <c r="E68" i="3"/>
  <c r="D68" i="3"/>
  <c r="C68" i="3"/>
  <c r="B68" i="3"/>
  <c r="F67" i="3"/>
  <c r="E67" i="3"/>
  <c r="D67" i="3"/>
  <c r="C67" i="3"/>
  <c r="B67" i="3"/>
  <c r="F66" i="3"/>
  <c r="E66" i="3"/>
  <c r="D66" i="3"/>
  <c r="C66" i="3"/>
  <c r="B66" i="3"/>
  <c r="F65" i="3"/>
  <c r="E65" i="3"/>
  <c r="D65" i="3"/>
  <c r="C65" i="3"/>
  <c r="B65" i="3"/>
  <c r="F64" i="3"/>
  <c r="E64" i="3"/>
  <c r="D64" i="3"/>
  <c r="C64" i="3"/>
  <c r="B64" i="3"/>
  <c r="F63" i="3"/>
  <c r="E63" i="3"/>
  <c r="D63" i="3"/>
  <c r="C63" i="3"/>
  <c r="B63" i="3"/>
  <c r="F62" i="3"/>
  <c r="E62" i="3"/>
  <c r="D62" i="3"/>
  <c r="C62" i="3"/>
  <c r="B62" i="3"/>
  <c r="F61" i="3"/>
  <c r="E61" i="3"/>
  <c r="D61" i="3"/>
  <c r="C61" i="3"/>
  <c r="B61" i="3"/>
  <c r="F60" i="3"/>
  <c r="E60" i="3"/>
  <c r="D60" i="3"/>
  <c r="C60" i="3"/>
  <c r="B60" i="3"/>
  <c r="F59" i="3"/>
  <c r="E59" i="3"/>
  <c r="D59" i="3"/>
  <c r="C59" i="3"/>
  <c r="B59" i="3"/>
  <c r="F58" i="3"/>
  <c r="E58" i="3"/>
  <c r="D58" i="3"/>
  <c r="C58" i="3"/>
  <c r="B58" i="3"/>
  <c r="F57" i="3"/>
  <c r="E57" i="3"/>
  <c r="D57" i="3"/>
  <c r="C57" i="3"/>
  <c r="B57" i="3"/>
  <c r="F56" i="3"/>
  <c r="E56" i="3"/>
  <c r="D56" i="3"/>
  <c r="C56" i="3"/>
  <c r="B56" i="3"/>
  <c r="F55" i="3"/>
  <c r="E55" i="3"/>
  <c r="D55" i="3"/>
  <c r="C55" i="3"/>
  <c r="B55" i="3"/>
  <c r="F54" i="3"/>
  <c r="E54" i="3"/>
  <c r="D54" i="3"/>
  <c r="C54" i="3"/>
  <c r="B54" i="3"/>
  <c r="F53" i="3"/>
  <c r="E53" i="3"/>
  <c r="D53" i="3"/>
  <c r="C53" i="3"/>
  <c r="B53" i="3"/>
  <c r="F52" i="3"/>
  <c r="E52" i="3"/>
  <c r="D52" i="3"/>
  <c r="C52" i="3"/>
  <c r="B52" i="3"/>
  <c r="F51" i="3"/>
  <c r="E51" i="3"/>
  <c r="D51" i="3"/>
  <c r="C51" i="3"/>
  <c r="B51" i="3"/>
  <c r="F50" i="3"/>
  <c r="E50" i="3"/>
  <c r="D50" i="3"/>
  <c r="C50" i="3"/>
  <c r="B50" i="3"/>
  <c r="F49" i="3"/>
  <c r="E49" i="3"/>
  <c r="D49" i="3"/>
  <c r="C49" i="3"/>
  <c r="B49" i="3"/>
  <c r="F48" i="3"/>
  <c r="E48" i="3"/>
  <c r="D48" i="3"/>
  <c r="C48" i="3"/>
  <c r="B48" i="3"/>
  <c r="F47" i="3"/>
  <c r="E47" i="3"/>
  <c r="D47" i="3"/>
  <c r="C47" i="3"/>
  <c r="B47" i="3"/>
  <c r="F46" i="3"/>
  <c r="E46" i="3"/>
  <c r="D46" i="3"/>
  <c r="C46" i="3"/>
  <c r="B46" i="3"/>
  <c r="F45" i="3"/>
  <c r="E45" i="3"/>
  <c r="D45" i="3"/>
  <c r="C45" i="3"/>
  <c r="B45" i="3"/>
  <c r="F44" i="3"/>
  <c r="E44" i="3"/>
  <c r="D44" i="3"/>
  <c r="C44" i="3"/>
  <c r="B44" i="3"/>
  <c r="F43" i="3"/>
  <c r="E43" i="3"/>
  <c r="D43" i="3"/>
  <c r="C43" i="3"/>
  <c r="B43" i="3"/>
  <c r="F42" i="3"/>
  <c r="E42" i="3"/>
  <c r="D42" i="3"/>
  <c r="C42" i="3"/>
  <c r="B42" i="3"/>
  <c r="F41" i="3"/>
  <c r="E41" i="3"/>
  <c r="D41" i="3"/>
  <c r="C41" i="3"/>
  <c r="B41" i="3"/>
  <c r="F40" i="3"/>
  <c r="E40" i="3"/>
  <c r="D40" i="3"/>
  <c r="C40" i="3"/>
  <c r="B40" i="3"/>
  <c r="F39" i="3"/>
  <c r="E39" i="3"/>
  <c r="D39" i="3"/>
  <c r="C39" i="3"/>
  <c r="B39" i="3"/>
  <c r="F38" i="3"/>
  <c r="E38" i="3"/>
  <c r="D38" i="3"/>
  <c r="C38" i="3"/>
  <c r="B38" i="3"/>
  <c r="F37" i="3"/>
  <c r="E37" i="3"/>
  <c r="D37" i="3"/>
  <c r="C37" i="3"/>
  <c r="B37" i="3"/>
  <c r="F36" i="3"/>
  <c r="E36" i="3"/>
  <c r="D36" i="3"/>
  <c r="C36" i="3"/>
  <c r="B36" i="3"/>
  <c r="F35" i="3"/>
  <c r="E35" i="3"/>
  <c r="D35" i="3"/>
  <c r="C35" i="3"/>
  <c r="B35" i="3"/>
  <c r="F34" i="3"/>
  <c r="E34" i="3"/>
  <c r="D34" i="3"/>
  <c r="C34" i="3"/>
  <c r="B34" i="3"/>
  <c r="F33" i="3"/>
  <c r="E33" i="3"/>
  <c r="D33" i="3"/>
  <c r="C33" i="3"/>
  <c r="B33" i="3"/>
  <c r="F32" i="3"/>
  <c r="E32" i="3"/>
  <c r="D32" i="3"/>
  <c r="C32" i="3"/>
  <c r="B32" i="3"/>
  <c r="F31" i="3"/>
  <c r="E31" i="3"/>
  <c r="D31" i="3"/>
  <c r="C31" i="3"/>
  <c r="B31" i="3"/>
  <c r="F30" i="3"/>
  <c r="E30" i="3"/>
  <c r="D30" i="3"/>
  <c r="C30" i="3"/>
  <c r="B30" i="3"/>
  <c r="F29" i="3"/>
  <c r="E29" i="3"/>
  <c r="D29" i="3"/>
  <c r="C29" i="3"/>
  <c r="B29" i="3"/>
  <c r="F28" i="3"/>
  <c r="E28" i="3"/>
  <c r="D28" i="3"/>
  <c r="C28" i="3"/>
  <c r="B28" i="3"/>
  <c r="F27" i="3"/>
  <c r="E27" i="3"/>
  <c r="D27" i="3"/>
  <c r="C27" i="3"/>
  <c r="B27" i="3"/>
  <c r="F26" i="3"/>
  <c r="E26" i="3"/>
  <c r="D26" i="3"/>
  <c r="C26" i="3"/>
  <c r="B26" i="3"/>
  <c r="F25" i="3"/>
  <c r="E25" i="3"/>
  <c r="D25" i="3"/>
  <c r="C25" i="3"/>
  <c r="B25" i="3"/>
  <c r="F24" i="3"/>
  <c r="E24" i="3"/>
  <c r="D24" i="3"/>
  <c r="C24" i="3"/>
  <c r="B24" i="3"/>
  <c r="F23" i="3"/>
  <c r="E23" i="3"/>
  <c r="D23" i="3"/>
  <c r="C23" i="3"/>
  <c r="B23" i="3"/>
  <c r="F22" i="3"/>
  <c r="E22" i="3"/>
  <c r="D22" i="3"/>
  <c r="C22" i="3"/>
  <c r="B22" i="3"/>
  <c r="F21" i="3"/>
  <c r="E21" i="3"/>
  <c r="D21" i="3"/>
  <c r="C21" i="3"/>
  <c r="B21" i="3"/>
  <c r="F20" i="3"/>
  <c r="E20" i="3"/>
  <c r="D20" i="3"/>
  <c r="C20" i="3"/>
  <c r="B20" i="3"/>
  <c r="F19" i="3"/>
  <c r="E19" i="3"/>
  <c r="D19" i="3"/>
  <c r="C19" i="3"/>
  <c r="B19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/>
  <c r="F14" i="3"/>
  <c r="E14" i="3"/>
  <c r="D14" i="3"/>
  <c r="C14" i="3"/>
  <c r="B14" i="3"/>
  <c r="F13" i="3"/>
  <c r="E13" i="3"/>
  <c r="D13" i="3"/>
  <c r="C13" i="3"/>
  <c r="B13" i="3"/>
  <c r="F12" i="3"/>
  <c r="E12" i="3"/>
  <c r="D12" i="3"/>
  <c r="C12" i="3"/>
  <c r="B12" i="3"/>
  <c r="F11" i="3"/>
  <c r="E11" i="3"/>
  <c r="D11" i="3"/>
  <c r="C11" i="3"/>
  <c r="B11" i="3"/>
  <c r="F10" i="3"/>
  <c r="E10" i="3"/>
  <c r="D10" i="3"/>
  <c r="C10" i="3"/>
  <c r="B10" i="3"/>
  <c r="F9" i="3"/>
  <c r="E9" i="3"/>
  <c r="D9" i="3"/>
  <c r="C9" i="3"/>
  <c r="B9" i="3"/>
  <c r="F8" i="3"/>
  <c r="E8" i="3"/>
  <c r="D8" i="3"/>
  <c r="C8" i="3"/>
  <c r="B8" i="3"/>
  <c r="F7" i="3"/>
  <c r="E7" i="3"/>
  <c r="D7" i="3"/>
  <c r="C7" i="3"/>
  <c r="B7" i="3"/>
  <c r="F6" i="3"/>
  <c r="E6" i="3"/>
  <c r="D6" i="3"/>
  <c r="C6" i="3"/>
  <c r="B6" i="3"/>
  <c r="F5" i="3"/>
  <c r="E5" i="3"/>
  <c r="D5" i="3"/>
  <c r="C5" i="3"/>
  <c r="B5" i="3"/>
  <c r="F4" i="3"/>
  <c r="E4" i="3"/>
  <c r="D4" i="3"/>
  <c r="C4" i="3"/>
  <c r="B4" i="3"/>
  <c r="I234" i="2"/>
  <c r="G234" i="2"/>
  <c r="H234" i="2" s="1"/>
  <c r="F234" i="2"/>
  <c r="N234" i="2" s="1"/>
  <c r="E234" i="2"/>
  <c r="M234" i="2" s="1"/>
  <c r="D234" i="2"/>
  <c r="L234" i="2" s="1"/>
  <c r="C234" i="2"/>
  <c r="K234" i="2" s="1"/>
  <c r="B234" i="2"/>
  <c r="J234" i="2" s="1"/>
  <c r="O233" i="2"/>
  <c r="I233" i="2"/>
  <c r="G233" i="2"/>
  <c r="H233" i="2" s="1"/>
  <c r="F233" i="2"/>
  <c r="N233" i="2" s="1"/>
  <c r="E233" i="2"/>
  <c r="M233" i="2" s="1"/>
  <c r="D233" i="2"/>
  <c r="L233" i="2" s="1"/>
  <c r="C233" i="2"/>
  <c r="K233" i="2" s="1"/>
  <c r="B233" i="2"/>
  <c r="J233" i="2" s="1"/>
  <c r="I232" i="2"/>
  <c r="H232" i="2"/>
  <c r="G232" i="2"/>
  <c r="F232" i="2"/>
  <c r="E232" i="2"/>
  <c r="D232" i="2"/>
  <c r="L232" i="2" s="1"/>
  <c r="C232" i="2"/>
  <c r="K232" i="2" s="1"/>
  <c r="B232" i="2"/>
  <c r="J232" i="2" s="1"/>
  <c r="I231" i="2"/>
  <c r="H231" i="2"/>
  <c r="G231" i="2"/>
  <c r="F231" i="2"/>
  <c r="N231" i="2" s="1"/>
  <c r="E231" i="2"/>
  <c r="M231" i="2" s="1"/>
  <c r="D231" i="2"/>
  <c r="L231" i="2" s="1"/>
  <c r="C231" i="2"/>
  <c r="K231" i="2" s="1"/>
  <c r="B231" i="2"/>
  <c r="J231" i="2" s="1"/>
  <c r="J230" i="2"/>
  <c r="I230" i="2"/>
  <c r="G230" i="2"/>
  <c r="H230" i="2" s="1"/>
  <c r="F230" i="2"/>
  <c r="N230" i="2" s="1"/>
  <c r="E230" i="2"/>
  <c r="M230" i="2" s="1"/>
  <c r="D230" i="2"/>
  <c r="L230" i="2" s="1"/>
  <c r="C230" i="2"/>
  <c r="K230" i="2" s="1"/>
  <c r="B230" i="2"/>
  <c r="O229" i="2"/>
  <c r="I229" i="2"/>
  <c r="G229" i="2"/>
  <c r="F229" i="2"/>
  <c r="N229" i="2" s="1"/>
  <c r="E229" i="2"/>
  <c r="M229" i="2" s="1"/>
  <c r="D229" i="2"/>
  <c r="L229" i="2" s="1"/>
  <c r="C229" i="2"/>
  <c r="K229" i="2" s="1"/>
  <c r="B229" i="2"/>
  <c r="J229" i="2" s="1"/>
  <c r="N228" i="2"/>
  <c r="I228" i="2"/>
  <c r="H228" i="2"/>
  <c r="G228" i="2"/>
  <c r="F228" i="2"/>
  <c r="E228" i="2"/>
  <c r="D228" i="2"/>
  <c r="L228" i="2" s="1"/>
  <c r="C228" i="2"/>
  <c r="K228" i="2" s="1"/>
  <c r="B228" i="2"/>
  <c r="J228" i="2" s="1"/>
  <c r="I227" i="2"/>
  <c r="H227" i="2"/>
  <c r="G227" i="2"/>
  <c r="F227" i="2"/>
  <c r="N227" i="2" s="1"/>
  <c r="E227" i="2"/>
  <c r="M227" i="2" s="1"/>
  <c r="D227" i="2"/>
  <c r="L227" i="2" s="1"/>
  <c r="C227" i="2"/>
  <c r="B227" i="2"/>
  <c r="J227" i="2" s="1"/>
  <c r="I226" i="2"/>
  <c r="G226" i="2"/>
  <c r="H226" i="2" s="1"/>
  <c r="F226" i="2"/>
  <c r="N226" i="2" s="1"/>
  <c r="E226" i="2"/>
  <c r="M226" i="2" s="1"/>
  <c r="D226" i="2"/>
  <c r="L226" i="2" s="1"/>
  <c r="C226" i="2"/>
  <c r="K226" i="2" s="1"/>
  <c r="B226" i="2"/>
  <c r="O225" i="2"/>
  <c r="I225" i="2"/>
  <c r="G225" i="2"/>
  <c r="H225" i="2" s="1"/>
  <c r="F225" i="2"/>
  <c r="N225" i="2" s="1"/>
  <c r="E225" i="2"/>
  <c r="M225" i="2" s="1"/>
  <c r="D225" i="2"/>
  <c r="L225" i="2" s="1"/>
  <c r="C225" i="2"/>
  <c r="K225" i="2" s="1"/>
  <c r="B225" i="2"/>
  <c r="J225" i="2" s="1"/>
  <c r="I224" i="2"/>
  <c r="H224" i="2"/>
  <c r="G224" i="2"/>
  <c r="F224" i="2"/>
  <c r="E224" i="2"/>
  <c r="D224" i="2"/>
  <c r="L224" i="2" s="1"/>
  <c r="C224" i="2"/>
  <c r="K224" i="2" s="1"/>
  <c r="B224" i="2"/>
  <c r="J224" i="2" s="1"/>
  <c r="L223" i="2"/>
  <c r="I223" i="2"/>
  <c r="H223" i="2"/>
  <c r="G223" i="2"/>
  <c r="F223" i="2"/>
  <c r="N223" i="2" s="1"/>
  <c r="E223" i="2"/>
  <c r="M223" i="2" s="1"/>
  <c r="D223" i="2"/>
  <c r="C223" i="2"/>
  <c r="K223" i="2" s="1"/>
  <c r="B223" i="2"/>
  <c r="J223" i="2" s="1"/>
  <c r="I222" i="2"/>
  <c r="G222" i="2"/>
  <c r="H222" i="2" s="1"/>
  <c r="F222" i="2"/>
  <c r="N222" i="2" s="1"/>
  <c r="E222" i="2"/>
  <c r="M222" i="2" s="1"/>
  <c r="D222" i="2"/>
  <c r="L222" i="2" s="1"/>
  <c r="C222" i="2"/>
  <c r="K222" i="2" s="1"/>
  <c r="B222" i="2"/>
  <c r="J222" i="2" s="1"/>
  <c r="O221" i="2"/>
  <c r="I221" i="2"/>
  <c r="G221" i="2"/>
  <c r="H221" i="2" s="1"/>
  <c r="F221" i="2"/>
  <c r="N221" i="2" s="1"/>
  <c r="E221" i="2"/>
  <c r="M221" i="2" s="1"/>
  <c r="D221" i="2"/>
  <c r="L221" i="2" s="1"/>
  <c r="C221" i="2"/>
  <c r="K221" i="2" s="1"/>
  <c r="B221" i="2"/>
  <c r="J221" i="2" s="1"/>
  <c r="I220" i="2"/>
  <c r="O232" i="2" s="1"/>
  <c r="H220" i="2"/>
  <c r="G220" i="2"/>
  <c r="F220" i="2"/>
  <c r="N220" i="2" s="1"/>
  <c r="E220" i="2"/>
  <c r="D220" i="2"/>
  <c r="L220" i="2" s="1"/>
  <c r="C220" i="2"/>
  <c r="K220" i="2" s="1"/>
  <c r="B220" i="2"/>
  <c r="J220" i="2" s="1"/>
  <c r="I219" i="2"/>
  <c r="O231" i="2" s="1"/>
  <c r="H219" i="2"/>
  <c r="G219" i="2"/>
  <c r="F219" i="2"/>
  <c r="N219" i="2" s="1"/>
  <c r="E219" i="2"/>
  <c r="M219" i="2" s="1"/>
  <c r="D219" i="2"/>
  <c r="C219" i="2"/>
  <c r="K219" i="2" s="1"/>
  <c r="B219" i="2"/>
  <c r="J219" i="2" s="1"/>
  <c r="I218" i="2"/>
  <c r="O218" i="2" s="1"/>
  <c r="G218" i="2"/>
  <c r="H218" i="2" s="1"/>
  <c r="F218" i="2"/>
  <c r="N218" i="2" s="1"/>
  <c r="E218" i="2"/>
  <c r="M218" i="2" s="1"/>
  <c r="D218" i="2"/>
  <c r="L218" i="2" s="1"/>
  <c r="C218" i="2"/>
  <c r="K218" i="2" s="1"/>
  <c r="B218" i="2"/>
  <c r="J218" i="2" s="1"/>
  <c r="O217" i="2"/>
  <c r="I217" i="2"/>
  <c r="G217" i="2"/>
  <c r="H229" i="2" s="1"/>
  <c r="F217" i="2"/>
  <c r="N217" i="2" s="1"/>
  <c r="E217" i="2"/>
  <c r="M217" i="2" s="1"/>
  <c r="D217" i="2"/>
  <c r="L217" i="2" s="1"/>
  <c r="C217" i="2"/>
  <c r="K217" i="2" s="1"/>
  <c r="B217" i="2"/>
  <c r="J217" i="2" s="1"/>
  <c r="N216" i="2"/>
  <c r="M216" i="2"/>
  <c r="I216" i="2"/>
  <c r="O228" i="2" s="1"/>
  <c r="H216" i="2"/>
  <c r="G216" i="2"/>
  <c r="F216" i="2"/>
  <c r="E216" i="2"/>
  <c r="M228" i="2" s="1"/>
  <c r="D216" i="2"/>
  <c r="L216" i="2" s="1"/>
  <c r="C216" i="2"/>
  <c r="K216" i="2" s="1"/>
  <c r="B216" i="2"/>
  <c r="J216" i="2" s="1"/>
  <c r="I215" i="2"/>
  <c r="O227" i="2" s="1"/>
  <c r="H215" i="2"/>
  <c r="G215" i="2"/>
  <c r="F215" i="2"/>
  <c r="N215" i="2" s="1"/>
  <c r="E215" i="2"/>
  <c r="M215" i="2" s="1"/>
  <c r="D215" i="2"/>
  <c r="L215" i="2" s="1"/>
  <c r="C215" i="2"/>
  <c r="B215" i="2"/>
  <c r="J215" i="2" s="1"/>
  <c r="I214" i="2"/>
  <c r="G214" i="2"/>
  <c r="H214" i="2" s="1"/>
  <c r="F214" i="2"/>
  <c r="N214" i="2" s="1"/>
  <c r="E214" i="2"/>
  <c r="M214" i="2" s="1"/>
  <c r="D214" i="2"/>
  <c r="L214" i="2" s="1"/>
  <c r="C214" i="2"/>
  <c r="K214" i="2" s="1"/>
  <c r="B214" i="2"/>
  <c r="J214" i="2" s="1"/>
  <c r="O213" i="2"/>
  <c r="I213" i="2"/>
  <c r="G213" i="2"/>
  <c r="F213" i="2"/>
  <c r="N213" i="2" s="1"/>
  <c r="E213" i="2"/>
  <c r="M213" i="2" s="1"/>
  <c r="D213" i="2"/>
  <c r="L213" i="2" s="1"/>
  <c r="C213" i="2"/>
  <c r="K213" i="2" s="1"/>
  <c r="B213" i="2"/>
  <c r="J213" i="2" s="1"/>
  <c r="I212" i="2"/>
  <c r="O224" i="2" s="1"/>
  <c r="H212" i="2"/>
  <c r="G212" i="2"/>
  <c r="F212" i="2"/>
  <c r="N224" i="2" s="1"/>
  <c r="E212" i="2"/>
  <c r="M224" i="2" s="1"/>
  <c r="D212" i="2"/>
  <c r="L212" i="2" s="1"/>
  <c r="C212" i="2"/>
  <c r="K212" i="2" s="1"/>
  <c r="B212" i="2"/>
  <c r="J212" i="2" s="1"/>
  <c r="K211" i="2"/>
  <c r="I211" i="2"/>
  <c r="O223" i="2" s="1"/>
  <c r="H211" i="2"/>
  <c r="G211" i="2"/>
  <c r="F211" i="2"/>
  <c r="N211" i="2" s="1"/>
  <c r="E211" i="2"/>
  <c r="M211" i="2" s="1"/>
  <c r="D211" i="2"/>
  <c r="L211" i="2" s="1"/>
  <c r="C211" i="2"/>
  <c r="B211" i="2"/>
  <c r="J211" i="2" s="1"/>
  <c r="J210" i="2"/>
  <c r="I210" i="2"/>
  <c r="G210" i="2"/>
  <c r="F210" i="2"/>
  <c r="N210" i="2" s="1"/>
  <c r="E210" i="2"/>
  <c r="M210" i="2" s="1"/>
  <c r="D210" i="2"/>
  <c r="L210" i="2" s="1"/>
  <c r="C210" i="2"/>
  <c r="K210" i="2" s="1"/>
  <c r="B210" i="2"/>
  <c r="O209" i="2"/>
  <c r="I209" i="2"/>
  <c r="G209" i="2"/>
  <c r="H209" i="2" s="1"/>
  <c r="F209" i="2"/>
  <c r="N209" i="2" s="1"/>
  <c r="E209" i="2"/>
  <c r="M209" i="2" s="1"/>
  <c r="D209" i="2"/>
  <c r="L209" i="2" s="1"/>
  <c r="C209" i="2"/>
  <c r="K209" i="2" s="1"/>
  <c r="B209" i="2"/>
  <c r="J209" i="2" s="1"/>
  <c r="I208" i="2"/>
  <c r="O220" i="2" s="1"/>
  <c r="H208" i="2"/>
  <c r="G208" i="2"/>
  <c r="F208" i="2"/>
  <c r="N208" i="2" s="1"/>
  <c r="E208" i="2"/>
  <c r="M208" i="2" s="1"/>
  <c r="D208" i="2"/>
  <c r="L208" i="2" s="1"/>
  <c r="C208" i="2"/>
  <c r="K208" i="2" s="1"/>
  <c r="B208" i="2"/>
  <c r="J208" i="2" s="1"/>
  <c r="I207" i="2"/>
  <c r="O219" i="2" s="1"/>
  <c r="H207" i="2"/>
  <c r="G207" i="2"/>
  <c r="F207" i="2"/>
  <c r="N207" i="2" s="1"/>
  <c r="E207" i="2"/>
  <c r="M207" i="2" s="1"/>
  <c r="D207" i="2"/>
  <c r="L219" i="2" s="1"/>
  <c r="C207" i="2"/>
  <c r="B207" i="2"/>
  <c r="J207" i="2" s="1"/>
  <c r="I206" i="2"/>
  <c r="G206" i="2"/>
  <c r="F206" i="2"/>
  <c r="N206" i="2" s="1"/>
  <c r="E206" i="2"/>
  <c r="M206" i="2" s="1"/>
  <c r="D206" i="2"/>
  <c r="L206" i="2" s="1"/>
  <c r="C206" i="2"/>
  <c r="K206" i="2" s="1"/>
  <c r="B206" i="2"/>
  <c r="J206" i="2" s="1"/>
  <c r="O205" i="2"/>
  <c r="I205" i="2"/>
  <c r="G205" i="2"/>
  <c r="H217" i="2" s="1"/>
  <c r="F205" i="2"/>
  <c r="N205" i="2" s="1"/>
  <c r="E205" i="2"/>
  <c r="M205" i="2" s="1"/>
  <c r="D205" i="2"/>
  <c r="L205" i="2" s="1"/>
  <c r="C205" i="2"/>
  <c r="K205" i="2" s="1"/>
  <c r="B205" i="2"/>
  <c r="J205" i="2" s="1"/>
  <c r="M204" i="2"/>
  <c r="I204" i="2"/>
  <c r="O216" i="2" s="1"/>
  <c r="H204" i="2"/>
  <c r="G204" i="2"/>
  <c r="F204" i="2"/>
  <c r="E204" i="2"/>
  <c r="D204" i="2"/>
  <c r="L204" i="2" s="1"/>
  <c r="C204" i="2"/>
  <c r="K204" i="2" s="1"/>
  <c r="B204" i="2"/>
  <c r="J204" i="2" s="1"/>
  <c r="L203" i="2"/>
  <c r="I203" i="2"/>
  <c r="O215" i="2" s="1"/>
  <c r="H203" i="2"/>
  <c r="G203" i="2"/>
  <c r="F203" i="2"/>
  <c r="N203" i="2" s="1"/>
  <c r="E203" i="2"/>
  <c r="M203" i="2" s="1"/>
  <c r="D203" i="2"/>
  <c r="C203" i="2"/>
  <c r="B203" i="2"/>
  <c r="J203" i="2" s="1"/>
  <c r="I202" i="2"/>
  <c r="G202" i="2"/>
  <c r="F202" i="2"/>
  <c r="N202" i="2" s="1"/>
  <c r="E202" i="2"/>
  <c r="M202" i="2" s="1"/>
  <c r="D202" i="2"/>
  <c r="L202" i="2" s="1"/>
  <c r="C202" i="2"/>
  <c r="K202" i="2" s="1"/>
  <c r="B202" i="2"/>
  <c r="O201" i="2"/>
  <c r="I201" i="2"/>
  <c r="G201" i="2"/>
  <c r="H201" i="2" s="1"/>
  <c r="F201" i="2"/>
  <c r="N201" i="2" s="1"/>
  <c r="E201" i="2"/>
  <c r="M201" i="2" s="1"/>
  <c r="D201" i="2"/>
  <c r="L201" i="2" s="1"/>
  <c r="C201" i="2"/>
  <c r="K201" i="2" s="1"/>
  <c r="B201" i="2"/>
  <c r="J201" i="2" s="1"/>
  <c r="I200" i="2"/>
  <c r="O200" i="2" s="1"/>
  <c r="H200" i="2"/>
  <c r="G200" i="2"/>
  <c r="F200" i="2"/>
  <c r="E200" i="2"/>
  <c r="M212" i="2" s="1"/>
  <c r="D200" i="2"/>
  <c r="L200" i="2" s="1"/>
  <c r="C200" i="2"/>
  <c r="K200" i="2" s="1"/>
  <c r="B200" i="2"/>
  <c r="J200" i="2" s="1"/>
  <c r="I199" i="2"/>
  <c r="O211" i="2" s="1"/>
  <c r="H199" i="2"/>
  <c r="G199" i="2"/>
  <c r="F199" i="2"/>
  <c r="N199" i="2" s="1"/>
  <c r="E199" i="2"/>
  <c r="M199" i="2" s="1"/>
  <c r="D199" i="2"/>
  <c r="L199" i="2" s="1"/>
  <c r="C199" i="2"/>
  <c r="K199" i="2" s="1"/>
  <c r="B199" i="2"/>
  <c r="J199" i="2" s="1"/>
  <c r="J198" i="2"/>
  <c r="I198" i="2"/>
  <c r="G198" i="2"/>
  <c r="H210" i="2" s="1"/>
  <c r="F198" i="2"/>
  <c r="N198" i="2" s="1"/>
  <c r="E198" i="2"/>
  <c r="M198" i="2" s="1"/>
  <c r="D198" i="2"/>
  <c r="L198" i="2" s="1"/>
  <c r="C198" i="2"/>
  <c r="K198" i="2" s="1"/>
  <c r="B198" i="2"/>
  <c r="O197" i="2"/>
  <c r="I197" i="2"/>
  <c r="G197" i="2"/>
  <c r="F197" i="2"/>
  <c r="N197" i="2" s="1"/>
  <c r="E197" i="2"/>
  <c r="M197" i="2" s="1"/>
  <c r="D197" i="2"/>
  <c r="L197" i="2" s="1"/>
  <c r="C197" i="2"/>
  <c r="K197" i="2" s="1"/>
  <c r="B197" i="2"/>
  <c r="J197" i="2" s="1"/>
  <c r="N196" i="2"/>
  <c r="I196" i="2"/>
  <c r="O196" i="2" s="1"/>
  <c r="H196" i="2"/>
  <c r="G196" i="2"/>
  <c r="F196" i="2"/>
  <c r="E196" i="2"/>
  <c r="M196" i="2" s="1"/>
  <c r="D196" i="2"/>
  <c r="L196" i="2" s="1"/>
  <c r="C196" i="2"/>
  <c r="K196" i="2" s="1"/>
  <c r="B196" i="2"/>
  <c r="J196" i="2" s="1"/>
  <c r="I195" i="2"/>
  <c r="O207" i="2" s="1"/>
  <c r="H195" i="2"/>
  <c r="G195" i="2"/>
  <c r="F195" i="2"/>
  <c r="N195" i="2" s="1"/>
  <c r="E195" i="2"/>
  <c r="M195" i="2" s="1"/>
  <c r="D195" i="2"/>
  <c r="C195" i="2"/>
  <c r="K207" i="2" s="1"/>
  <c r="B195" i="2"/>
  <c r="J195" i="2" s="1"/>
  <c r="I194" i="2"/>
  <c r="G194" i="2"/>
  <c r="H206" i="2" s="1"/>
  <c r="F194" i="2"/>
  <c r="N194" i="2" s="1"/>
  <c r="E194" i="2"/>
  <c r="M194" i="2" s="1"/>
  <c r="D194" i="2"/>
  <c r="L194" i="2" s="1"/>
  <c r="C194" i="2"/>
  <c r="K194" i="2" s="1"/>
  <c r="B194" i="2"/>
  <c r="O193" i="2"/>
  <c r="I193" i="2"/>
  <c r="G193" i="2"/>
  <c r="H193" i="2" s="1"/>
  <c r="F193" i="2"/>
  <c r="N193" i="2" s="1"/>
  <c r="E193" i="2"/>
  <c r="M193" i="2" s="1"/>
  <c r="D193" i="2"/>
  <c r="L193" i="2" s="1"/>
  <c r="C193" i="2"/>
  <c r="K193" i="2" s="1"/>
  <c r="B193" i="2"/>
  <c r="J193" i="2" s="1"/>
  <c r="I192" i="2"/>
  <c r="O192" i="2" s="1"/>
  <c r="H192" i="2"/>
  <c r="G192" i="2"/>
  <c r="F192" i="2"/>
  <c r="N204" i="2" s="1"/>
  <c r="E192" i="2"/>
  <c r="D192" i="2"/>
  <c r="L192" i="2" s="1"/>
  <c r="C192" i="2"/>
  <c r="K192" i="2" s="1"/>
  <c r="B192" i="2"/>
  <c r="J192" i="2" s="1"/>
  <c r="L191" i="2"/>
  <c r="I191" i="2"/>
  <c r="O203" i="2" s="1"/>
  <c r="H191" i="2"/>
  <c r="G191" i="2"/>
  <c r="F191" i="2"/>
  <c r="N191" i="2" s="1"/>
  <c r="E191" i="2"/>
  <c r="M191" i="2" s="1"/>
  <c r="D191" i="2"/>
  <c r="C191" i="2"/>
  <c r="K191" i="2" s="1"/>
  <c r="B191" i="2"/>
  <c r="J191" i="2" s="1"/>
  <c r="I190" i="2"/>
  <c r="G190" i="2"/>
  <c r="H202" i="2" s="1"/>
  <c r="F190" i="2"/>
  <c r="N190" i="2" s="1"/>
  <c r="E190" i="2"/>
  <c r="M190" i="2" s="1"/>
  <c r="D190" i="2"/>
  <c r="L190" i="2" s="1"/>
  <c r="C190" i="2"/>
  <c r="K190" i="2" s="1"/>
  <c r="B190" i="2"/>
  <c r="O189" i="2"/>
  <c r="I189" i="2"/>
  <c r="G189" i="2"/>
  <c r="H189" i="2" s="1"/>
  <c r="F189" i="2"/>
  <c r="N189" i="2" s="1"/>
  <c r="E189" i="2"/>
  <c r="M189" i="2" s="1"/>
  <c r="D189" i="2"/>
  <c r="L189" i="2" s="1"/>
  <c r="C189" i="2"/>
  <c r="K189" i="2" s="1"/>
  <c r="B189" i="2"/>
  <c r="J189" i="2" s="1"/>
  <c r="I188" i="2"/>
  <c r="O188" i="2" s="1"/>
  <c r="H188" i="2"/>
  <c r="G188" i="2"/>
  <c r="F188" i="2"/>
  <c r="N188" i="2" s="1"/>
  <c r="E188" i="2"/>
  <c r="D188" i="2"/>
  <c r="L188" i="2" s="1"/>
  <c r="C188" i="2"/>
  <c r="K188" i="2" s="1"/>
  <c r="B188" i="2"/>
  <c r="J188" i="2" s="1"/>
  <c r="L187" i="2"/>
  <c r="I187" i="2"/>
  <c r="O199" i="2" s="1"/>
  <c r="H187" i="2"/>
  <c r="G187" i="2"/>
  <c r="F187" i="2"/>
  <c r="E187" i="2"/>
  <c r="M187" i="2" s="1"/>
  <c r="D187" i="2"/>
  <c r="C187" i="2"/>
  <c r="K187" i="2" s="1"/>
  <c r="B187" i="2"/>
  <c r="J187" i="2" s="1"/>
  <c r="I186" i="2"/>
  <c r="O186" i="2" s="1"/>
  <c r="G186" i="2"/>
  <c r="H198" i="2" s="1"/>
  <c r="F186" i="2"/>
  <c r="N186" i="2" s="1"/>
  <c r="E186" i="2"/>
  <c r="M186" i="2" s="1"/>
  <c r="D186" i="2"/>
  <c r="C186" i="2"/>
  <c r="K186" i="2" s="1"/>
  <c r="B186" i="2"/>
  <c r="J186" i="2" s="1"/>
  <c r="O185" i="2"/>
  <c r="I185" i="2"/>
  <c r="H185" i="2"/>
  <c r="G185" i="2"/>
  <c r="H197" i="2" s="1"/>
  <c r="F185" i="2"/>
  <c r="N185" i="2" s="1"/>
  <c r="E185" i="2"/>
  <c r="M185" i="2" s="1"/>
  <c r="D185" i="2"/>
  <c r="L185" i="2" s="1"/>
  <c r="C185" i="2"/>
  <c r="K185" i="2" s="1"/>
  <c r="B185" i="2"/>
  <c r="N184" i="2"/>
  <c r="M184" i="2"/>
  <c r="I184" i="2"/>
  <c r="O184" i="2" s="1"/>
  <c r="H184" i="2"/>
  <c r="G184" i="2"/>
  <c r="F184" i="2"/>
  <c r="E184" i="2"/>
  <c r="D184" i="2"/>
  <c r="L184" i="2" s="1"/>
  <c r="C184" i="2"/>
  <c r="K184" i="2" s="1"/>
  <c r="B184" i="2"/>
  <c r="J184" i="2" s="1"/>
  <c r="I183" i="2"/>
  <c r="O195" i="2" s="1"/>
  <c r="H183" i="2"/>
  <c r="G183" i="2"/>
  <c r="F183" i="2"/>
  <c r="E183" i="2"/>
  <c r="M183" i="2" s="1"/>
  <c r="D183" i="2"/>
  <c r="L183" i="2" s="1"/>
  <c r="C183" i="2"/>
  <c r="K183" i="2" s="1"/>
  <c r="B183" i="2"/>
  <c r="J183" i="2" s="1"/>
  <c r="I182" i="2"/>
  <c r="G182" i="2"/>
  <c r="H194" i="2" s="1"/>
  <c r="F182" i="2"/>
  <c r="E182" i="2"/>
  <c r="M182" i="2" s="1"/>
  <c r="D182" i="2"/>
  <c r="L182" i="2" s="1"/>
  <c r="C182" i="2"/>
  <c r="K182" i="2" s="1"/>
  <c r="B182" i="2"/>
  <c r="J194" i="2" s="1"/>
  <c r="O181" i="2"/>
  <c r="I181" i="2"/>
  <c r="G181" i="2"/>
  <c r="F181" i="2"/>
  <c r="N181" i="2" s="1"/>
  <c r="E181" i="2"/>
  <c r="M181" i="2" s="1"/>
  <c r="D181" i="2"/>
  <c r="C181" i="2"/>
  <c r="K181" i="2" s="1"/>
  <c r="B181" i="2"/>
  <c r="I180" i="2"/>
  <c r="O180" i="2" s="1"/>
  <c r="H180" i="2"/>
  <c r="G180" i="2"/>
  <c r="F180" i="2"/>
  <c r="N192" i="2" s="1"/>
  <c r="E180" i="2"/>
  <c r="M192" i="2" s="1"/>
  <c r="D180" i="2"/>
  <c r="L180" i="2" s="1"/>
  <c r="C180" i="2"/>
  <c r="K180" i="2" s="1"/>
  <c r="B180" i="2"/>
  <c r="K179" i="2"/>
  <c r="I179" i="2"/>
  <c r="O191" i="2" s="1"/>
  <c r="H179" i="2"/>
  <c r="G179" i="2"/>
  <c r="F179" i="2"/>
  <c r="E179" i="2"/>
  <c r="M179" i="2" s="1"/>
  <c r="D179" i="2"/>
  <c r="L179" i="2" s="1"/>
  <c r="C179" i="2"/>
  <c r="B179" i="2"/>
  <c r="J179" i="2" s="1"/>
  <c r="I178" i="2"/>
  <c r="G178" i="2"/>
  <c r="H190" i="2" s="1"/>
  <c r="F178" i="2"/>
  <c r="E178" i="2"/>
  <c r="M178" i="2" s="1"/>
  <c r="D178" i="2"/>
  <c r="C178" i="2"/>
  <c r="K178" i="2" s="1"/>
  <c r="B178" i="2"/>
  <c r="J178" i="2" s="1"/>
  <c r="O177" i="2"/>
  <c r="I177" i="2"/>
  <c r="G177" i="2"/>
  <c r="F177" i="2"/>
  <c r="N177" i="2" s="1"/>
  <c r="E177" i="2"/>
  <c r="M177" i="2" s="1"/>
  <c r="D177" i="2"/>
  <c r="C177" i="2"/>
  <c r="K177" i="2" s="1"/>
  <c r="B177" i="2"/>
  <c r="J177" i="2" s="1"/>
  <c r="I176" i="2"/>
  <c r="O176" i="2" s="1"/>
  <c r="H176" i="2"/>
  <c r="G176" i="2"/>
  <c r="F176" i="2"/>
  <c r="N176" i="2" s="1"/>
  <c r="E176" i="2"/>
  <c r="M176" i="2" s="1"/>
  <c r="D176" i="2"/>
  <c r="L176" i="2" s="1"/>
  <c r="C176" i="2"/>
  <c r="K176" i="2" s="1"/>
  <c r="B176" i="2"/>
  <c r="I175" i="2"/>
  <c r="O187" i="2" s="1"/>
  <c r="H175" i="2"/>
  <c r="G175" i="2"/>
  <c r="F175" i="2"/>
  <c r="N175" i="2" s="1"/>
  <c r="E175" i="2"/>
  <c r="M175" i="2" s="1"/>
  <c r="D175" i="2"/>
  <c r="C175" i="2"/>
  <c r="B175" i="2"/>
  <c r="J175" i="2" s="1"/>
  <c r="I174" i="2"/>
  <c r="O174" i="2" s="1"/>
  <c r="G174" i="2"/>
  <c r="H186" i="2" s="1"/>
  <c r="F174" i="2"/>
  <c r="E174" i="2"/>
  <c r="M174" i="2" s="1"/>
  <c r="D174" i="2"/>
  <c r="C174" i="2"/>
  <c r="K174" i="2" s="1"/>
  <c r="B174" i="2"/>
  <c r="J174" i="2" s="1"/>
  <c r="O173" i="2"/>
  <c r="I173" i="2"/>
  <c r="G173" i="2"/>
  <c r="F173" i="2"/>
  <c r="N173" i="2" s="1"/>
  <c r="E173" i="2"/>
  <c r="M173" i="2" s="1"/>
  <c r="D173" i="2"/>
  <c r="C173" i="2"/>
  <c r="K173" i="2" s="1"/>
  <c r="B173" i="2"/>
  <c r="J173" i="2" s="1"/>
  <c r="N172" i="2"/>
  <c r="I172" i="2"/>
  <c r="O172" i="2" s="1"/>
  <c r="H172" i="2"/>
  <c r="G172" i="2"/>
  <c r="F172" i="2"/>
  <c r="E172" i="2"/>
  <c r="D172" i="2"/>
  <c r="L172" i="2" s="1"/>
  <c r="C172" i="2"/>
  <c r="K172" i="2" s="1"/>
  <c r="B172" i="2"/>
  <c r="I171" i="2"/>
  <c r="O183" i="2" s="1"/>
  <c r="H171" i="2"/>
  <c r="G171" i="2"/>
  <c r="F171" i="2"/>
  <c r="N171" i="2" s="1"/>
  <c r="E171" i="2"/>
  <c r="M171" i="2" s="1"/>
  <c r="D171" i="2"/>
  <c r="C171" i="2"/>
  <c r="B171" i="2"/>
  <c r="J171" i="2" s="1"/>
  <c r="I170" i="2"/>
  <c r="O170" i="2" s="1"/>
  <c r="G170" i="2"/>
  <c r="H182" i="2" s="1"/>
  <c r="F170" i="2"/>
  <c r="E170" i="2"/>
  <c r="M170" i="2" s="1"/>
  <c r="D170" i="2"/>
  <c r="L170" i="2" s="1"/>
  <c r="C170" i="2"/>
  <c r="K170" i="2" s="1"/>
  <c r="B170" i="2"/>
  <c r="J182" i="2" s="1"/>
  <c r="O169" i="2"/>
  <c r="I169" i="2"/>
  <c r="G169" i="2"/>
  <c r="H169" i="2" s="1"/>
  <c r="F169" i="2"/>
  <c r="N169" i="2" s="1"/>
  <c r="E169" i="2"/>
  <c r="M169" i="2" s="1"/>
  <c r="D169" i="2"/>
  <c r="L169" i="2" s="1"/>
  <c r="C169" i="2"/>
  <c r="K169" i="2" s="1"/>
  <c r="B169" i="2"/>
  <c r="J169" i="2" s="1"/>
  <c r="I168" i="2"/>
  <c r="H168" i="2"/>
  <c r="G168" i="2"/>
  <c r="F168" i="2"/>
  <c r="E168" i="2"/>
  <c r="M168" i="2" s="1"/>
  <c r="D168" i="2"/>
  <c r="L168" i="2" s="1"/>
  <c r="C168" i="2"/>
  <c r="K168" i="2" s="1"/>
  <c r="B168" i="2"/>
  <c r="J168" i="2" s="1"/>
  <c r="I167" i="2"/>
  <c r="O179" i="2" s="1"/>
  <c r="G167" i="2"/>
  <c r="F167" i="2"/>
  <c r="E167" i="2"/>
  <c r="M167" i="2" s="1"/>
  <c r="D167" i="2"/>
  <c r="L167" i="2" s="1"/>
  <c r="C167" i="2"/>
  <c r="B167" i="2"/>
  <c r="J167" i="2" s="1"/>
  <c r="I166" i="2"/>
  <c r="G166" i="2"/>
  <c r="H178" i="2" s="1"/>
  <c r="F166" i="2"/>
  <c r="E166" i="2"/>
  <c r="D166" i="2"/>
  <c r="L166" i="2" s="1"/>
  <c r="C166" i="2"/>
  <c r="K166" i="2" s="1"/>
  <c r="B166" i="2"/>
  <c r="J166" i="2" s="1"/>
  <c r="O165" i="2"/>
  <c r="I165" i="2"/>
  <c r="G165" i="2"/>
  <c r="H165" i="2" s="1"/>
  <c r="F165" i="2"/>
  <c r="N165" i="2" s="1"/>
  <c r="E165" i="2"/>
  <c r="M165" i="2" s="1"/>
  <c r="D165" i="2"/>
  <c r="C165" i="2"/>
  <c r="B165" i="2"/>
  <c r="I164" i="2"/>
  <c r="O164" i="2" s="1"/>
  <c r="H164" i="2"/>
  <c r="G164" i="2"/>
  <c r="F164" i="2"/>
  <c r="E164" i="2"/>
  <c r="M164" i="2" s="1"/>
  <c r="D164" i="2"/>
  <c r="L164" i="2" s="1"/>
  <c r="C164" i="2"/>
  <c r="K164" i="2" s="1"/>
  <c r="B164" i="2"/>
  <c r="J164" i="2" s="1"/>
  <c r="N163" i="2"/>
  <c r="I163" i="2"/>
  <c r="O175" i="2" s="1"/>
  <c r="H163" i="2"/>
  <c r="G163" i="2"/>
  <c r="F163" i="2"/>
  <c r="E163" i="2"/>
  <c r="M163" i="2" s="1"/>
  <c r="D163" i="2"/>
  <c r="C163" i="2"/>
  <c r="K163" i="2" s="1"/>
  <c r="B163" i="2"/>
  <c r="J163" i="2" s="1"/>
  <c r="I162" i="2"/>
  <c r="G162" i="2"/>
  <c r="H174" i="2" s="1"/>
  <c r="F162" i="2"/>
  <c r="N162" i="2" s="1"/>
  <c r="E162" i="2"/>
  <c r="D162" i="2"/>
  <c r="L174" i="2" s="1"/>
  <c r="C162" i="2"/>
  <c r="K162" i="2" s="1"/>
  <c r="B162" i="2"/>
  <c r="J162" i="2" s="1"/>
  <c r="I161" i="2"/>
  <c r="G161" i="2"/>
  <c r="H173" i="2" s="1"/>
  <c r="F161" i="2"/>
  <c r="E161" i="2"/>
  <c r="D161" i="2"/>
  <c r="L161" i="2" s="1"/>
  <c r="C161" i="2"/>
  <c r="B161" i="2"/>
  <c r="N160" i="2"/>
  <c r="I160" i="2"/>
  <c r="G160" i="2"/>
  <c r="F160" i="2"/>
  <c r="E160" i="2"/>
  <c r="M160" i="2" s="1"/>
  <c r="D160" i="2"/>
  <c r="L160" i="2" s="1"/>
  <c r="C160" i="2"/>
  <c r="B160" i="2"/>
  <c r="J160" i="2" s="1"/>
  <c r="I159" i="2"/>
  <c r="O171" i="2" s="1"/>
  <c r="H159" i="2"/>
  <c r="G159" i="2"/>
  <c r="F159" i="2"/>
  <c r="N159" i="2" s="1"/>
  <c r="E159" i="2"/>
  <c r="D159" i="2"/>
  <c r="L171" i="2" s="1"/>
  <c r="C159" i="2"/>
  <c r="K171" i="2" s="1"/>
  <c r="B159" i="2"/>
  <c r="I158" i="2"/>
  <c r="G158" i="2"/>
  <c r="H170" i="2" s="1"/>
  <c r="F158" i="2"/>
  <c r="N170" i="2" s="1"/>
  <c r="E158" i="2"/>
  <c r="D158" i="2"/>
  <c r="C158" i="2"/>
  <c r="B158" i="2"/>
  <c r="J170" i="2" s="1"/>
  <c r="I157" i="2"/>
  <c r="G157" i="2"/>
  <c r="F157" i="2"/>
  <c r="E157" i="2"/>
  <c r="M157" i="2" s="1"/>
  <c r="D157" i="2"/>
  <c r="L157" i="2" s="1"/>
  <c r="C157" i="2"/>
  <c r="B157" i="2"/>
  <c r="I156" i="2"/>
  <c r="G156" i="2"/>
  <c r="F156" i="2"/>
  <c r="N156" i="2" s="1"/>
  <c r="E156" i="2"/>
  <c r="D156" i="2"/>
  <c r="C156" i="2"/>
  <c r="B156" i="2"/>
  <c r="J156" i="2" s="1"/>
  <c r="L155" i="2"/>
  <c r="I155" i="2"/>
  <c r="O167" i="2" s="1"/>
  <c r="G155" i="2"/>
  <c r="H155" i="2" s="1"/>
  <c r="F155" i="2"/>
  <c r="N167" i="2" s="1"/>
  <c r="E155" i="2"/>
  <c r="D155" i="2"/>
  <c r="C155" i="2"/>
  <c r="K155" i="2" s="1"/>
  <c r="B155" i="2"/>
  <c r="I154" i="2"/>
  <c r="G154" i="2"/>
  <c r="H166" i="2" s="1"/>
  <c r="F154" i="2"/>
  <c r="E154" i="2"/>
  <c r="M154" i="2" s="1"/>
  <c r="D154" i="2"/>
  <c r="C154" i="2"/>
  <c r="B154" i="2"/>
  <c r="J154" i="2" s="1"/>
  <c r="I153" i="2"/>
  <c r="G153" i="2"/>
  <c r="H153" i="2" s="1"/>
  <c r="F153" i="2"/>
  <c r="E153" i="2"/>
  <c r="D153" i="2"/>
  <c r="L165" i="2" s="1"/>
  <c r="C153" i="2"/>
  <c r="K153" i="2" s="1"/>
  <c r="B153" i="2"/>
  <c r="J153" i="2" s="1"/>
  <c r="I152" i="2"/>
  <c r="G152" i="2"/>
  <c r="F152" i="2"/>
  <c r="E152" i="2"/>
  <c r="M152" i="2" s="1"/>
  <c r="D152" i="2"/>
  <c r="C152" i="2"/>
  <c r="B152" i="2"/>
  <c r="J152" i="2" s="1"/>
  <c r="K151" i="2"/>
  <c r="I151" i="2"/>
  <c r="O163" i="2" s="1"/>
  <c r="G151" i="2"/>
  <c r="F151" i="2"/>
  <c r="E151" i="2"/>
  <c r="D151" i="2"/>
  <c r="C151" i="2"/>
  <c r="B151" i="2"/>
  <c r="J151" i="2" s="1"/>
  <c r="N150" i="2"/>
  <c r="I150" i="2"/>
  <c r="G150" i="2"/>
  <c r="H162" i="2" s="1"/>
  <c r="F150" i="2"/>
  <c r="E150" i="2"/>
  <c r="M150" i="2" s="1"/>
  <c r="D150" i="2"/>
  <c r="C150" i="2"/>
  <c r="B150" i="2"/>
  <c r="I149" i="2"/>
  <c r="G149" i="2"/>
  <c r="H161" i="2" s="1"/>
  <c r="F149" i="2"/>
  <c r="E149" i="2"/>
  <c r="D149" i="2"/>
  <c r="L149" i="2" s="1"/>
  <c r="C149" i="2"/>
  <c r="K149" i="2" s="1"/>
  <c r="B149" i="2"/>
  <c r="J161" i="2" s="1"/>
  <c r="O148" i="2"/>
  <c r="I148" i="2"/>
  <c r="G148" i="2"/>
  <c r="H160" i="2" s="1"/>
  <c r="F148" i="2"/>
  <c r="N148" i="2" s="1"/>
  <c r="E148" i="2"/>
  <c r="M148" i="2" s="1"/>
  <c r="D148" i="2"/>
  <c r="L148" i="2" s="1"/>
  <c r="C148" i="2"/>
  <c r="K148" i="2" s="1"/>
  <c r="B148" i="2"/>
  <c r="J148" i="2" s="1"/>
  <c r="M147" i="2"/>
  <c r="I147" i="2"/>
  <c r="O159" i="2" s="1"/>
  <c r="G147" i="2"/>
  <c r="H147" i="2" s="1"/>
  <c r="F147" i="2"/>
  <c r="E147" i="2"/>
  <c r="D147" i="2"/>
  <c r="L159" i="2" s="1"/>
  <c r="C147" i="2"/>
  <c r="K147" i="2" s="1"/>
  <c r="B147" i="2"/>
  <c r="J147" i="2" s="1"/>
  <c r="L146" i="2"/>
  <c r="I146" i="2"/>
  <c r="G146" i="2"/>
  <c r="H158" i="2" s="1"/>
  <c r="F146" i="2"/>
  <c r="N146" i="2" s="1"/>
  <c r="E146" i="2"/>
  <c r="M146" i="2" s="1"/>
  <c r="D146" i="2"/>
  <c r="L158" i="2" s="1"/>
  <c r="C146" i="2"/>
  <c r="B146" i="2"/>
  <c r="J146" i="2" s="1"/>
  <c r="I145" i="2"/>
  <c r="G145" i="2"/>
  <c r="H157" i="2" s="1"/>
  <c r="F145" i="2"/>
  <c r="N145" i="2" s="1"/>
  <c r="E145" i="2"/>
  <c r="M145" i="2" s="1"/>
  <c r="D145" i="2"/>
  <c r="L145" i="2" s="1"/>
  <c r="C145" i="2"/>
  <c r="K145" i="2" s="1"/>
  <c r="B145" i="2"/>
  <c r="J145" i="2" s="1"/>
  <c r="O144" i="2"/>
  <c r="I144" i="2"/>
  <c r="G144" i="2"/>
  <c r="H144" i="2" s="1"/>
  <c r="F144" i="2"/>
  <c r="N144" i="2" s="1"/>
  <c r="E144" i="2"/>
  <c r="M144" i="2" s="1"/>
  <c r="D144" i="2"/>
  <c r="L144" i="2" s="1"/>
  <c r="C144" i="2"/>
  <c r="K144" i="2" s="1"/>
  <c r="B144" i="2"/>
  <c r="J144" i="2" s="1"/>
  <c r="I143" i="2"/>
  <c r="O155" i="2" s="1"/>
  <c r="G143" i="2"/>
  <c r="H143" i="2" s="1"/>
  <c r="F143" i="2"/>
  <c r="N155" i="2" s="1"/>
  <c r="E143" i="2"/>
  <c r="D143" i="2"/>
  <c r="L143" i="2" s="1"/>
  <c r="C143" i="2"/>
  <c r="K143" i="2" s="1"/>
  <c r="B143" i="2"/>
  <c r="J143" i="2" s="1"/>
  <c r="I142" i="2"/>
  <c r="G142" i="2"/>
  <c r="H142" i="2" s="1"/>
  <c r="F142" i="2"/>
  <c r="N142" i="2" s="1"/>
  <c r="E142" i="2"/>
  <c r="M142" i="2" s="1"/>
  <c r="D142" i="2"/>
  <c r="C142" i="2"/>
  <c r="K142" i="2" s="1"/>
  <c r="B142" i="2"/>
  <c r="J142" i="2" s="1"/>
  <c r="I141" i="2"/>
  <c r="G141" i="2"/>
  <c r="F141" i="2"/>
  <c r="N141" i="2" s="1"/>
  <c r="E141" i="2"/>
  <c r="M141" i="2" s="1"/>
  <c r="D141" i="2"/>
  <c r="L141" i="2" s="1"/>
  <c r="C141" i="2"/>
  <c r="K141" i="2" s="1"/>
  <c r="B141" i="2"/>
  <c r="J141" i="2" s="1"/>
  <c r="O140" i="2"/>
  <c r="I140" i="2"/>
  <c r="G140" i="2"/>
  <c r="H152" i="2" s="1"/>
  <c r="F140" i="2"/>
  <c r="N140" i="2" s="1"/>
  <c r="E140" i="2"/>
  <c r="M140" i="2" s="1"/>
  <c r="D140" i="2"/>
  <c r="L140" i="2" s="1"/>
  <c r="C140" i="2"/>
  <c r="K140" i="2" s="1"/>
  <c r="B140" i="2"/>
  <c r="J140" i="2" s="1"/>
  <c r="M139" i="2"/>
  <c r="I139" i="2"/>
  <c r="O151" i="2" s="1"/>
  <c r="G139" i="2"/>
  <c r="H139" i="2" s="1"/>
  <c r="F139" i="2"/>
  <c r="E139" i="2"/>
  <c r="D139" i="2"/>
  <c r="L151" i="2" s="1"/>
  <c r="C139" i="2"/>
  <c r="K139" i="2" s="1"/>
  <c r="B139" i="2"/>
  <c r="J139" i="2" s="1"/>
  <c r="I138" i="2"/>
  <c r="G138" i="2"/>
  <c r="H138" i="2" s="1"/>
  <c r="F138" i="2"/>
  <c r="N138" i="2" s="1"/>
  <c r="E138" i="2"/>
  <c r="M138" i="2" s="1"/>
  <c r="D138" i="2"/>
  <c r="C138" i="2"/>
  <c r="K138" i="2" s="1"/>
  <c r="B138" i="2"/>
  <c r="J150" i="2" s="1"/>
  <c r="I137" i="2"/>
  <c r="O137" i="2" s="1"/>
  <c r="G137" i="2"/>
  <c r="H149" i="2" s="1"/>
  <c r="F137" i="2"/>
  <c r="N137" i="2" s="1"/>
  <c r="E137" i="2"/>
  <c r="M137" i="2" s="1"/>
  <c r="D137" i="2"/>
  <c r="L137" i="2" s="1"/>
  <c r="C137" i="2"/>
  <c r="K137" i="2" s="1"/>
  <c r="B137" i="2"/>
  <c r="J137" i="2" s="1"/>
  <c r="O136" i="2"/>
  <c r="I136" i="2"/>
  <c r="H136" i="2"/>
  <c r="G136" i="2"/>
  <c r="F136" i="2"/>
  <c r="N136" i="2" s="1"/>
  <c r="E136" i="2"/>
  <c r="M136" i="2" s="1"/>
  <c r="D136" i="2"/>
  <c r="L136" i="2" s="1"/>
  <c r="C136" i="2"/>
  <c r="K136" i="2" s="1"/>
  <c r="B136" i="2"/>
  <c r="J136" i="2" s="1"/>
  <c r="N135" i="2"/>
  <c r="M135" i="2"/>
  <c r="I135" i="2"/>
  <c r="O135" i="2" s="1"/>
  <c r="G135" i="2"/>
  <c r="H135" i="2" s="1"/>
  <c r="F135" i="2"/>
  <c r="N147" i="2" s="1"/>
  <c r="E135" i="2"/>
  <c r="D135" i="2"/>
  <c r="L135" i="2" s="1"/>
  <c r="C135" i="2"/>
  <c r="K135" i="2" s="1"/>
  <c r="B135" i="2"/>
  <c r="J135" i="2" s="1"/>
  <c r="L134" i="2"/>
  <c r="I134" i="2"/>
  <c r="O146" i="2" s="1"/>
  <c r="G134" i="2"/>
  <c r="H134" i="2" s="1"/>
  <c r="F134" i="2"/>
  <c r="N134" i="2" s="1"/>
  <c r="E134" i="2"/>
  <c r="M134" i="2" s="1"/>
  <c r="D134" i="2"/>
  <c r="C134" i="2"/>
  <c r="B134" i="2"/>
  <c r="J134" i="2" s="1"/>
  <c r="I133" i="2"/>
  <c r="G133" i="2"/>
  <c r="H145" i="2" s="1"/>
  <c r="F133" i="2"/>
  <c r="N133" i="2" s="1"/>
  <c r="E133" i="2"/>
  <c r="M133" i="2" s="1"/>
  <c r="D133" i="2"/>
  <c r="L133" i="2" s="1"/>
  <c r="C133" i="2"/>
  <c r="K133" i="2" s="1"/>
  <c r="B133" i="2"/>
  <c r="J133" i="2" s="1"/>
  <c r="O132" i="2"/>
  <c r="I132" i="2"/>
  <c r="G132" i="2"/>
  <c r="H132" i="2" s="1"/>
  <c r="F132" i="2"/>
  <c r="N132" i="2" s="1"/>
  <c r="E132" i="2"/>
  <c r="M132" i="2" s="1"/>
  <c r="D132" i="2"/>
  <c r="L132" i="2" s="1"/>
  <c r="C132" i="2"/>
  <c r="K132" i="2" s="1"/>
  <c r="B132" i="2"/>
  <c r="J132" i="2" s="1"/>
  <c r="I131" i="2"/>
  <c r="O131" i="2" s="1"/>
  <c r="G131" i="2"/>
  <c r="H131" i="2" s="1"/>
  <c r="F131" i="2"/>
  <c r="E131" i="2"/>
  <c r="D131" i="2"/>
  <c r="L131" i="2" s="1"/>
  <c r="C131" i="2"/>
  <c r="K131" i="2" s="1"/>
  <c r="B131" i="2"/>
  <c r="J131" i="2" s="1"/>
  <c r="K130" i="2"/>
  <c r="I130" i="2"/>
  <c r="O142" i="2" s="1"/>
  <c r="G130" i="2"/>
  <c r="H130" i="2" s="1"/>
  <c r="F130" i="2"/>
  <c r="N130" i="2" s="1"/>
  <c r="E130" i="2"/>
  <c r="M130" i="2" s="1"/>
  <c r="D130" i="2"/>
  <c r="L130" i="2" s="1"/>
  <c r="C130" i="2"/>
  <c r="B130" i="2"/>
  <c r="J130" i="2" s="1"/>
  <c r="I129" i="2"/>
  <c r="G129" i="2"/>
  <c r="H141" i="2" s="1"/>
  <c r="F129" i="2"/>
  <c r="N129" i="2" s="1"/>
  <c r="E129" i="2"/>
  <c r="M129" i="2" s="1"/>
  <c r="D129" i="2"/>
  <c r="L129" i="2" s="1"/>
  <c r="C129" i="2"/>
  <c r="K129" i="2" s="1"/>
  <c r="B129" i="2"/>
  <c r="O128" i="2"/>
  <c r="I128" i="2"/>
  <c r="G128" i="2"/>
  <c r="F128" i="2"/>
  <c r="N128" i="2" s="1"/>
  <c r="E128" i="2"/>
  <c r="M128" i="2" s="1"/>
  <c r="D128" i="2"/>
  <c r="L128" i="2" s="1"/>
  <c r="C128" i="2"/>
  <c r="K128" i="2" s="1"/>
  <c r="B128" i="2"/>
  <c r="J128" i="2" s="1"/>
  <c r="N127" i="2"/>
  <c r="I127" i="2"/>
  <c r="O127" i="2" s="1"/>
  <c r="G127" i="2"/>
  <c r="H127" i="2" s="1"/>
  <c r="F127" i="2"/>
  <c r="E127" i="2"/>
  <c r="D127" i="2"/>
  <c r="L127" i="2" s="1"/>
  <c r="C127" i="2"/>
  <c r="K127" i="2" s="1"/>
  <c r="B127" i="2"/>
  <c r="J127" i="2" s="1"/>
  <c r="K126" i="2"/>
  <c r="I126" i="2"/>
  <c r="O138" i="2" s="1"/>
  <c r="G126" i="2"/>
  <c r="H126" i="2" s="1"/>
  <c r="F126" i="2"/>
  <c r="N126" i="2" s="1"/>
  <c r="E126" i="2"/>
  <c r="M126" i="2" s="1"/>
  <c r="D126" i="2"/>
  <c r="L138" i="2" s="1"/>
  <c r="C126" i="2"/>
  <c r="B126" i="2"/>
  <c r="J126" i="2" s="1"/>
  <c r="I125" i="2"/>
  <c r="O125" i="2" s="1"/>
  <c r="G125" i="2"/>
  <c r="H125" i="2" s="1"/>
  <c r="F125" i="2"/>
  <c r="N125" i="2" s="1"/>
  <c r="E125" i="2"/>
  <c r="D125" i="2"/>
  <c r="L125" i="2" s="1"/>
  <c r="C125" i="2"/>
  <c r="K125" i="2" s="1"/>
  <c r="B125" i="2"/>
  <c r="O124" i="2"/>
  <c r="I124" i="2"/>
  <c r="G124" i="2"/>
  <c r="F124" i="2"/>
  <c r="N124" i="2" s="1"/>
  <c r="E124" i="2"/>
  <c r="M124" i="2" s="1"/>
  <c r="D124" i="2"/>
  <c r="L124" i="2" s="1"/>
  <c r="C124" i="2"/>
  <c r="B124" i="2"/>
  <c r="J124" i="2" s="1"/>
  <c r="I123" i="2"/>
  <c r="G123" i="2"/>
  <c r="H123" i="2" s="1"/>
  <c r="F123" i="2"/>
  <c r="E123" i="2"/>
  <c r="D123" i="2"/>
  <c r="L123" i="2" s="1"/>
  <c r="C123" i="2"/>
  <c r="K123" i="2" s="1"/>
  <c r="B123" i="2"/>
  <c r="J123" i="2" s="1"/>
  <c r="I122" i="2"/>
  <c r="O134" i="2" s="1"/>
  <c r="G122" i="2"/>
  <c r="F122" i="2"/>
  <c r="N122" i="2" s="1"/>
  <c r="E122" i="2"/>
  <c r="M122" i="2" s="1"/>
  <c r="D122" i="2"/>
  <c r="L122" i="2" s="1"/>
  <c r="C122" i="2"/>
  <c r="K122" i="2" s="1"/>
  <c r="B122" i="2"/>
  <c r="J122" i="2" s="1"/>
  <c r="I121" i="2"/>
  <c r="G121" i="2"/>
  <c r="H121" i="2" s="1"/>
  <c r="F121" i="2"/>
  <c r="N121" i="2" s="1"/>
  <c r="E121" i="2"/>
  <c r="D121" i="2"/>
  <c r="L121" i="2" s="1"/>
  <c r="C121" i="2"/>
  <c r="K121" i="2" s="1"/>
  <c r="B121" i="2"/>
  <c r="J121" i="2" s="1"/>
  <c r="O120" i="2"/>
  <c r="I120" i="2"/>
  <c r="H120" i="2"/>
  <c r="G120" i="2"/>
  <c r="F120" i="2"/>
  <c r="N120" i="2" s="1"/>
  <c r="E120" i="2"/>
  <c r="M120" i="2" s="1"/>
  <c r="D120" i="2"/>
  <c r="L120" i="2" s="1"/>
  <c r="C120" i="2"/>
  <c r="B120" i="2"/>
  <c r="J120" i="2" s="1"/>
  <c r="I119" i="2"/>
  <c r="O119" i="2" s="1"/>
  <c r="G119" i="2"/>
  <c r="H119" i="2" s="1"/>
  <c r="F119" i="2"/>
  <c r="N119" i="2" s="1"/>
  <c r="E119" i="2"/>
  <c r="M119" i="2" s="1"/>
  <c r="D119" i="2"/>
  <c r="L119" i="2" s="1"/>
  <c r="C119" i="2"/>
  <c r="K119" i="2" s="1"/>
  <c r="B119" i="2"/>
  <c r="J119" i="2" s="1"/>
  <c r="K118" i="2"/>
  <c r="I118" i="2"/>
  <c r="O130" i="2" s="1"/>
  <c r="G118" i="2"/>
  <c r="H118" i="2" s="1"/>
  <c r="F118" i="2"/>
  <c r="N118" i="2" s="1"/>
  <c r="E118" i="2"/>
  <c r="M118" i="2" s="1"/>
  <c r="D118" i="2"/>
  <c r="C118" i="2"/>
  <c r="B118" i="2"/>
  <c r="J118" i="2" s="1"/>
  <c r="I117" i="2"/>
  <c r="G117" i="2"/>
  <c r="H117" i="2" s="1"/>
  <c r="F117" i="2"/>
  <c r="N117" i="2" s="1"/>
  <c r="E117" i="2"/>
  <c r="D117" i="2"/>
  <c r="L117" i="2" s="1"/>
  <c r="C117" i="2"/>
  <c r="K117" i="2" s="1"/>
  <c r="B117" i="2"/>
  <c r="J129" i="2" s="1"/>
  <c r="O116" i="2"/>
  <c r="I116" i="2"/>
  <c r="H116" i="2"/>
  <c r="G116" i="2"/>
  <c r="F116" i="2"/>
  <c r="N116" i="2" s="1"/>
  <c r="E116" i="2"/>
  <c r="M116" i="2" s="1"/>
  <c r="D116" i="2"/>
  <c r="L116" i="2" s="1"/>
  <c r="C116" i="2"/>
  <c r="B116" i="2"/>
  <c r="J116" i="2" s="1"/>
  <c r="M115" i="2"/>
  <c r="I115" i="2"/>
  <c r="O115" i="2" s="1"/>
  <c r="G115" i="2"/>
  <c r="F115" i="2"/>
  <c r="E115" i="2"/>
  <c r="M127" i="2" s="1"/>
  <c r="D115" i="2"/>
  <c r="L115" i="2" s="1"/>
  <c r="C115" i="2"/>
  <c r="K115" i="2" s="1"/>
  <c r="B115" i="2"/>
  <c r="J115" i="2" s="1"/>
  <c r="L114" i="2"/>
  <c r="K114" i="2"/>
  <c r="I114" i="2"/>
  <c r="O126" i="2" s="1"/>
  <c r="G114" i="2"/>
  <c r="F114" i="2"/>
  <c r="N114" i="2" s="1"/>
  <c r="E114" i="2"/>
  <c r="D114" i="2"/>
  <c r="C114" i="2"/>
  <c r="B114" i="2"/>
  <c r="J114" i="2" s="1"/>
  <c r="M113" i="2"/>
  <c r="I113" i="2"/>
  <c r="G113" i="2"/>
  <c r="F113" i="2"/>
  <c r="N113" i="2" s="1"/>
  <c r="E113" i="2"/>
  <c r="D113" i="2"/>
  <c r="C113" i="2"/>
  <c r="K113" i="2" s="1"/>
  <c r="B113" i="2"/>
  <c r="J125" i="2" s="1"/>
  <c r="I112" i="2"/>
  <c r="G112" i="2"/>
  <c r="H112" i="2" s="1"/>
  <c r="F112" i="2"/>
  <c r="N112" i="2" s="1"/>
  <c r="E112" i="2"/>
  <c r="M112" i="2" s="1"/>
  <c r="D112" i="2"/>
  <c r="L112" i="2" s="1"/>
  <c r="C112" i="2"/>
  <c r="K112" i="2" s="1"/>
  <c r="B112" i="2"/>
  <c r="I111" i="2"/>
  <c r="O111" i="2" s="1"/>
  <c r="G111" i="2"/>
  <c r="F111" i="2"/>
  <c r="N111" i="2" s="1"/>
  <c r="E111" i="2"/>
  <c r="M111" i="2" s="1"/>
  <c r="D111" i="2"/>
  <c r="C111" i="2"/>
  <c r="B111" i="2"/>
  <c r="I110" i="2"/>
  <c r="O122" i="2" s="1"/>
  <c r="G110" i="2"/>
  <c r="H110" i="2" s="1"/>
  <c r="F110" i="2"/>
  <c r="E110" i="2"/>
  <c r="D110" i="2"/>
  <c r="C110" i="2"/>
  <c r="K110" i="2" s="1"/>
  <c r="B110" i="2"/>
  <c r="J109" i="2"/>
  <c r="I109" i="2"/>
  <c r="O109" i="2" s="1"/>
  <c r="G109" i="2"/>
  <c r="F109" i="2"/>
  <c r="E109" i="2"/>
  <c r="D109" i="2"/>
  <c r="L109" i="2" s="1"/>
  <c r="C109" i="2"/>
  <c r="B109" i="2"/>
  <c r="O108" i="2"/>
  <c r="I108" i="2"/>
  <c r="G108" i="2"/>
  <c r="F108" i="2"/>
  <c r="E108" i="2"/>
  <c r="D108" i="2"/>
  <c r="C108" i="2"/>
  <c r="K108" i="2" s="1"/>
  <c r="B108" i="2"/>
  <c r="J108" i="2" s="1"/>
  <c r="I107" i="2"/>
  <c r="G107" i="2"/>
  <c r="F107" i="2"/>
  <c r="N107" i="2" s="1"/>
  <c r="E107" i="2"/>
  <c r="M107" i="2" s="1"/>
  <c r="D107" i="2"/>
  <c r="C107" i="2"/>
  <c r="K107" i="2" s="1"/>
  <c r="B107" i="2"/>
  <c r="I106" i="2"/>
  <c r="O118" i="2" s="1"/>
  <c r="G106" i="2"/>
  <c r="F106" i="2"/>
  <c r="N106" i="2" s="1"/>
  <c r="E106" i="2"/>
  <c r="M106" i="2" s="1"/>
  <c r="D106" i="2"/>
  <c r="L106" i="2" s="1"/>
  <c r="C106" i="2"/>
  <c r="B106" i="2"/>
  <c r="M105" i="2"/>
  <c r="I105" i="2"/>
  <c r="G105" i="2"/>
  <c r="F105" i="2"/>
  <c r="N105" i="2" s="1"/>
  <c r="E105" i="2"/>
  <c r="D105" i="2"/>
  <c r="C105" i="2"/>
  <c r="B105" i="2"/>
  <c r="J105" i="2" s="1"/>
  <c r="I104" i="2"/>
  <c r="H104" i="2"/>
  <c r="G104" i="2"/>
  <c r="F104" i="2"/>
  <c r="E104" i="2"/>
  <c r="D104" i="2"/>
  <c r="C104" i="2"/>
  <c r="K104" i="2" s="1"/>
  <c r="B104" i="2"/>
  <c r="O103" i="2"/>
  <c r="N103" i="2"/>
  <c r="I103" i="2"/>
  <c r="G103" i="2"/>
  <c r="F103" i="2"/>
  <c r="N115" i="2" s="1"/>
  <c r="E103" i="2"/>
  <c r="M103" i="2" s="1"/>
  <c r="D103" i="2"/>
  <c r="C103" i="2"/>
  <c r="B103" i="2"/>
  <c r="J103" i="2" s="1"/>
  <c r="I102" i="2"/>
  <c r="O114" i="2" s="1"/>
  <c r="G102" i="2"/>
  <c r="F102" i="2"/>
  <c r="N102" i="2" s="1"/>
  <c r="E102" i="2"/>
  <c r="M102" i="2" s="1"/>
  <c r="D102" i="2"/>
  <c r="L102" i="2" s="1"/>
  <c r="C102" i="2"/>
  <c r="B102" i="2"/>
  <c r="K101" i="2"/>
  <c r="I101" i="2"/>
  <c r="G101" i="2"/>
  <c r="F101" i="2"/>
  <c r="E101" i="2"/>
  <c r="M101" i="2" s="1"/>
  <c r="D101" i="2"/>
  <c r="L101" i="2" s="1"/>
  <c r="C101" i="2"/>
  <c r="B101" i="2"/>
  <c r="J101" i="2" s="1"/>
  <c r="O100" i="2"/>
  <c r="I100" i="2"/>
  <c r="O112" i="2" s="1"/>
  <c r="G100" i="2"/>
  <c r="F100" i="2"/>
  <c r="E100" i="2"/>
  <c r="D100" i="2"/>
  <c r="C100" i="2"/>
  <c r="K100" i="2" s="1"/>
  <c r="B100" i="2"/>
  <c r="J100" i="2" s="1"/>
  <c r="I99" i="2"/>
  <c r="G99" i="2"/>
  <c r="H99" i="2" s="1"/>
  <c r="F99" i="2"/>
  <c r="N99" i="2" s="1"/>
  <c r="E99" i="2"/>
  <c r="M99" i="2" s="1"/>
  <c r="D99" i="2"/>
  <c r="L99" i="2" s="1"/>
  <c r="C99" i="2"/>
  <c r="K99" i="2" s="1"/>
  <c r="B99" i="2"/>
  <c r="J99" i="2" s="1"/>
  <c r="I98" i="2"/>
  <c r="G98" i="2"/>
  <c r="F98" i="2"/>
  <c r="N98" i="2" s="1"/>
  <c r="E98" i="2"/>
  <c r="M98" i="2" s="1"/>
  <c r="D98" i="2"/>
  <c r="L110" i="2" s="1"/>
  <c r="C98" i="2"/>
  <c r="K98" i="2" s="1"/>
  <c r="B98" i="2"/>
  <c r="J98" i="2" s="1"/>
  <c r="O97" i="2"/>
  <c r="I97" i="2"/>
  <c r="G97" i="2"/>
  <c r="F97" i="2"/>
  <c r="N97" i="2" s="1"/>
  <c r="E97" i="2"/>
  <c r="M97" i="2" s="1"/>
  <c r="D97" i="2"/>
  <c r="L97" i="2" s="1"/>
  <c r="C97" i="2"/>
  <c r="K97" i="2" s="1"/>
  <c r="B97" i="2"/>
  <c r="J97" i="2" s="1"/>
  <c r="I96" i="2"/>
  <c r="O96" i="2" s="1"/>
  <c r="G96" i="2"/>
  <c r="H108" i="2" s="1"/>
  <c r="F96" i="2"/>
  <c r="N96" i="2" s="1"/>
  <c r="E96" i="2"/>
  <c r="M96" i="2" s="1"/>
  <c r="D96" i="2"/>
  <c r="L96" i="2" s="1"/>
  <c r="C96" i="2"/>
  <c r="K96" i="2" s="1"/>
  <c r="B96" i="2"/>
  <c r="J96" i="2" s="1"/>
  <c r="I95" i="2"/>
  <c r="G95" i="2"/>
  <c r="H95" i="2" s="1"/>
  <c r="F95" i="2"/>
  <c r="N95" i="2" s="1"/>
  <c r="E95" i="2"/>
  <c r="M95" i="2" s="1"/>
  <c r="D95" i="2"/>
  <c r="C95" i="2"/>
  <c r="B95" i="2"/>
  <c r="J95" i="2" s="1"/>
  <c r="I94" i="2"/>
  <c r="G94" i="2"/>
  <c r="F94" i="2"/>
  <c r="N94" i="2" s="1"/>
  <c r="E94" i="2"/>
  <c r="M94" i="2" s="1"/>
  <c r="D94" i="2"/>
  <c r="L94" i="2" s="1"/>
  <c r="C94" i="2"/>
  <c r="K106" i="2" s="1"/>
  <c r="B94" i="2"/>
  <c r="J94" i="2" s="1"/>
  <c r="O93" i="2"/>
  <c r="I93" i="2"/>
  <c r="G93" i="2"/>
  <c r="H93" i="2" s="1"/>
  <c r="F93" i="2"/>
  <c r="N93" i="2" s="1"/>
  <c r="E93" i="2"/>
  <c r="M93" i="2" s="1"/>
  <c r="D93" i="2"/>
  <c r="L93" i="2" s="1"/>
  <c r="C93" i="2"/>
  <c r="K93" i="2" s="1"/>
  <c r="B93" i="2"/>
  <c r="J93" i="2" s="1"/>
  <c r="I92" i="2"/>
  <c r="O104" i="2" s="1"/>
  <c r="G92" i="2"/>
  <c r="F92" i="2"/>
  <c r="E92" i="2"/>
  <c r="D92" i="2"/>
  <c r="L92" i="2" s="1"/>
  <c r="C92" i="2"/>
  <c r="K92" i="2" s="1"/>
  <c r="B92" i="2"/>
  <c r="J92" i="2" s="1"/>
  <c r="O91" i="2"/>
  <c r="L91" i="2"/>
  <c r="I91" i="2"/>
  <c r="G91" i="2"/>
  <c r="H91" i="2" s="1"/>
  <c r="F91" i="2"/>
  <c r="N91" i="2" s="1"/>
  <c r="E91" i="2"/>
  <c r="M91" i="2" s="1"/>
  <c r="D91" i="2"/>
  <c r="C91" i="2"/>
  <c r="K91" i="2" s="1"/>
  <c r="B91" i="2"/>
  <c r="J91" i="2" s="1"/>
  <c r="I90" i="2"/>
  <c r="G90" i="2"/>
  <c r="F90" i="2"/>
  <c r="N90" i="2" s="1"/>
  <c r="E90" i="2"/>
  <c r="M90" i="2" s="1"/>
  <c r="D90" i="2"/>
  <c r="L90" i="2" s="1"/>
  <c r="C90" i="2"/>
  <c r="K102" i="2" s="1"/>
  <c r="B90" i="2"/>
  <c r="J90" i="2" s="1"/>
  <c r="O89" i="2"/>
  <c r="I89" i="2"/>
  <c r="O101" i="2" s="1"/>
  <c r="G89" i="2"/>
  <c r="H89" i="2" s="1"/>
  <c r="F89" i="2"/>
  <c r="N89" i="2" s="1"/>
  <c r="E89" i="2"/>
  <c r="M89" i="2" s="1"/>
  <c r="D89" i="2"/>
  <c r="L89" i="2" s="1"/>
  <c r="C89" i="2"/>
  <c r="K89" i="2" s="1"/>
  <c r="B89" i="2"/>
  <c r="J89" i="2" s="1"/>
  <c r="I88" i="2"/>
  <c r="O88" i="2" s="1"/>
  <c r="G88" i="2"/>
  <c r="H100" i="2" s="1"/>
  <c r="F88" i="2"/>
  <c r="N88" i="2" s="1"/>
  <c r="E88" i="2"/>
  <c r="M88" i="2" s="1"/>
  <c r="D88" i="2"/>
  <c r="L88" i="2" s="1"/>
  <c r="C88" i="2"/>
  <c r="K88" i="2" s="1"/>
  <c r="B88" i="2"/>
  <c r="J88" i="2" s="1"/>
  <c r="O87" i="2"/>
  <c r="I87" i="2"/>
  <c r="O99" i="2" s="1"/>
  <c r="G87" i="2"/>
  <c r="H87" i="2" s="1"/>
  <c r="F87" i="2"/>
  <c r="N87" i="2" s="1"/>
  <c r="E87" i="2"/>
  <c r="M87" i="2" s="1"/>
  <c r="D87" i="2"/>
  <c r="C87" i="2"/>
  <c r="B87" i="2"/>
  <c r="J87" i="2" s="1"/>
  <c r="I86" i="2"/>
  <c r="G86" i="2"/>
  <c r="H98" i="2" s="1"/>
  <c r="F86" i="2"/>
  <c r="N86" i="2" s="1"/>
  <c r="E86" i="2"/>
  <c r="M86" i="2" s="1"/>
  <c r="D86" i="2"/>
  <c r="L86" i="2" s="1"/>
  <c r="C86" i="2"/>
  <c r="K86" i="2" s="1"/>
  <c r="B86" i="2"/>
  <c r="J86" i="2" s="1"/>
  <c r="O85" i="2"/>
  <c r="I85" i="2"/>
  <c r="G85" i="2"/>
  <c r="H97" i="2" s="1"/>
  <c r="F85" i="2"/>
  <c r="N85" i="2" s="1"/>
  <c r="E85" i="2"/>
  <c r="M85" i="2" s="1"/>
  <c r="D85" i="2"/>
  <c r="L85" i="2" s="1"/>
  <c r="C85" i="2"/>
  <c r="K85" i="2" s="1"/>
  <c r="B85" i="2"/>
  <c r="J85" i="2" s="1"/>
  <c r="I84" i="2"/>
  <c r="O84" i="2" s="1"/>
  <c r="G84" i="2"/>
  <c r="H96" i="2" s="1"/>
  <c r="F84" i="2"/>
  <c r="E84" i="2"/>
  <c r="D84" i="2"/>
  <c r="L84" i="2" s="1"/>
  <c r="C84" i="2"/>
  <c r="K84" i="2" s="1"/>
  <c r="B84" i="2"/>
  <c r="J84" i="2" s="1"/>
  <c r="O83" i="2"/>
  <c r="L83" i="2"/>
  <c r="I83" i="2"/>
  <c r="O95" i="2" s="1"/>
  <c r="G83" i="2"/>
  <c r="H83" i="2" s="1"/>
  <c r="F83" i="2"/>
  <c r="N83" i="2" s="1"/>
  <c r="E83" i="2"/>
  <c r="M83" i="2" s="1"/>
  <c r="D83" i="2"/>
  <c r="L95" i="2" s="1"/>
  <c r="C83" i="2"/>
  <c r="K95" i="2" s="1"/>
  <c r="B83" i="2"/>
  <c r="J83" i="2" s="1"/>
  <c r="I82" i="2"/>
  <c r="G82" i="2"/>
  <c r="H94" i="2" s="1"/>
  <c r="F82" i="2"/>
  <c r="N82" i="2" s="1"/>
  <c r="E82" i="2"/>
  <c r="M82" i="2" s="1"/>
  <c r="D82" i="2"/>
  <c r="L82" i="2" s="1"/>
  <c r="C82" i="2"/>
  <c r="K82" i="2" s="1"/>
  <c r="B82" i="2"/>
  <c r="J82" i="2" s="1"/>
  <c r="O81" i="2"/>
  <c r="I81" i="2"/>
  <c r="G81" i="2"/>
  <c r="H81" i="2" s="1"/>
  <c r="F81" i="2"/>
  <c r="N81" i="2" s="1"/>
  <c r="E81" i="2"/>
  <c r="M81" i="2" s="1"/>
  <c r="D81" i="2"/>
  <c r="L81" i="2" s="1"/>
  <c r="C81" i="2"/>
  <c r="K81" i="2" s="1"/>
  <c r="B81" i="2"/>
  <c r="J81" i="2" s="1"/>
  <c r="I80" i="2"/>
  <c r="O80" i="2" s="1"/>
  <c r="G80" i="2"/>
  <c r="H92" i="2" s="1"/>
  <c r="F80" i="2"/>
  <c r="N80" i="2" s="1"/>
  <c r="E80" i="2"/>
  <c r="M80" i="2" s="1"/>
  <c r="D80" i="2"/>
  <c r="L80" i="2" s="1"/>
  <c r="C80" i="2"/>
  <c r="K80" i="2" s="1"/>
  <c r="B80" i="2"/>
  <c r="J80" i="2" s="1"/>
  <c r="O79" i="2"/>
  <c r="I79" i="2"/>
  <c r="G79" i="2"/>
  <c r="H79" i="2" s="1"/>
  <c r="F79" i="2"/>
  <c r="N79" i="2" s="1"/>
  <c r="E79" i="2"/>
  <c r="M79" i="2" s="1"/>
  <c r="D79" i="2"/>
  <c r="C79" i="2"/>
  <c r="B79" i="2"/>
  <c r="J79" i="2" s="1"/>
  <c r="I78" i="2"/>
  <c r="G78" i="2"/>
  <c r="H90" i="2" s="1"/>
  <c r="F78" i="2"/>
  <c r="N78" i="2" s="1"/>
  <c r="E78" i="2"/>
  <c r="M78" i="2" s="1"/>
  <c r="D78" i="2"/>
  <c r="L78" i="2" s="1"/>
  <c r="C78" i="2"/>
  <c r="K78" i="2" s="1"/>
  <c r="B78" i="2"/>
  <c r="J78" i="2" s="1"/>
  <c r="O77" i="2"/>
  <c r="I77" i="2"/>
  <c r="G77" i="2"/>
  <c r="H77" i="2" s="1"/>
  <c r="F77" i="2"/>
  <c r="N77" i="2" s="1"/>
  <c r="E77" i="2"/>
  <c r="M77" i="2" s="1"/>
  <c r="D77" i="2"/>
  <c r="L77" i="2" s="1"/>
  <c r="C77" i="2"/>
  <c r="K77" i="2" s="1"/>
  <c r="B77" i="2"/>
  <c r="J77" i="2" s="1"/>
  <c r="I76" i="2"/>
  <c r="O76" i="2" s="1"/>
  <c r="G76" i="2"/>
  <c r="H88" i="2" s="1"/>
  <c r="F76" i="2"/>
  <c r="E76" i="2"/>
  <c r="D76" i="2"/>
  <c r="L76" i="2" s="1"/>
  <c r="C76" i="2"/>
  <c r="K76" i="2" s="1"/>
  <c r="B76" i="2"/>
  <c r="J76" i="2" s="1"/>
  <c r="O75" i="2"/>
  <c r="L75" i="2"/>
  <c r="I75" i="2"/>
  <c r="G75" i="2"/>
  <c r="H75" i="2" s="1"/>
  <c r="F75" i="2"/>
  <c r="N75" i="2" s="1"/>
  <c r="E75" i="2"/>
  <c r="M75" i="2" s="1"/>
  <c r="D75" i="2"/>
  <c r="L87" i="2" s="1"/>
  <c r="C75" i="2"/>
  <c r="K87" i="2" s="1"/>
  <c r="B75" i="2"/>
  <c r="J75" i="2" s="1"/>
  <c r="I74" i="2"/>
  <c r="G74" i="2"/>
  <c r="H86" i="2" s="1"/>
  <c r="F74" i="2"/>
  <c r="N74" i="2" s="1"/>
  <c r="E74" i="2"/>
  <c r="M74" i="2" s="1"/>
  <c r="D74" i="2"/>
  <c r="L74" i="2" s="1"/>
  <c r="C74" i="2"/>
  <c r="K74" i="2" s="1"/>
  <c r="B74" i="2"/>
  <c r="J74" i="2" s="1"/>
  <c r="O73" i="2"/>
  <c r="I73" i="2"/>
  <c r="G73" i="2"/>
  <c r="H73" i="2" s="1"/>
  <c r="F73" i="2"/>
  <c r="N73" i="2" s="1"/>
  <c r="E73" i="2"/>
  <c r="M73" i="2" s="1"/>
  <c r="D73" i="2"/>
  <c r="L73" i="2" s="1"/>
  <c r="C73" i="2"/>
  <c r="K73" i="2" s="1"/>
  <c r="B73" i="2"/>
  <c r="J73" i="2" s="1"/>
  <c r="I72" i="2"/>
  <c r="O72" i="2" s="1"/>
  <c r="G72" i="2"/>
  <c r="H84" i="2" s="1"/>
  <c r="F72" i="2"/>
  <c r="N72" i="2" s="1"/>
  <c r="E72" i="2"/>
  <c r="M72" i="2" s="1"/>
  <c r="D72" i="2"/>
  <c r="L72" i="2" s="1"/>
  <c r="C72" i="2"/>
  <c r="K72" i="2" s="1"/>
  <c r="B72" i="2"/>
  <c r="J72" i="2" s="1"/>
  <c r="O71" i="2"/>
  <c r="I71" i="2"/>
  <c r="G71" i="2"/>
  <c r="H71" i="2" s="1"/>
  <c r="F71" i="2"/>
  <c r="N71" i="2" s="1"/>
  <c r="E71" i="2"/>
  <c r="M71" i="2" s="1"/>
  <c r="D71" i="2"/>
  <c r="C71" i="2"/>
  <c r="B71" i="2"/>
  <c r="J71" i="2" s="1"/>
  <c r="I70" i="2"/>
  <c r="G70" i="2"/>
  <c r="H82" i="2" s="1"/>
  <c r="F70" i="2"/>
  <c r="N70" i="2" s="1"/>
  <c r="E70" i="2"/>
  <c r="M70" i="2" s="1"/>
  <c r="D70" i="2"/>
  <c r="L70" i="2" s="1"/>
  <c r="C70" i="2"/>
  <c r="K70" i="2" s="1"/>
  <c r="B70" i="2"/>
  <c r="J70" i="2" s="1"/>
  <c r="O69" i="2"/>
  <c r="I69" i="2"/>
  <c r="G69" i="2"/>
  <c r="H69" i="2" s="1"/>
  <c r="F69" i="2"/>
  <c r="N69" i="2" s="1"/>
  <c r="E69" i="2"/>
  <c r="M69" i="2" s="1"/>
  <c r="D69" i="2"/>
  <c r="L69" i="2" s="1"/>
  <c r="C69" i="2"/>
  <c r="K69" i="2" s="1"/>
  <c r="B69" i="2"/>
  <c r="J69" i="2" s="1"/>
  <c r="M68" i="2"/>
  <c r="I68" i="2"/>
  <c r="O68" i="2" s="1"/>
  <c r="G68" i="2"/>
  <c r="H80" i="2" s="1"/>
  <c r="F68" i="2"/>
  <c r="E68" i="2"/>
  <c r="D68" i="2"/>
  <c r="L68" i="2" s="1"/>
  <c r="C68" i="2"/>
  <c r="K68" i="2" s="1"/>
  <c r="B68" i="2"/>
  <c r="J68" i="2" s="1"/>
  <c r="O67" i="2"/>
  <c r="I67" i="2"/>
  <c r="G67" i="2"/>
  <c r="H67" i="2" s="1"/>
  <c r="F67" i="2"/>
  <c r="N67" i="2" s="1"/>
  <c r="E67" i="2"/>
  <c r="M67" i="2" s="1"/>
  <c r="D67" i="2"/>
  <c r="L79" i="2" s="1"/>
  <c r="C67" i="2"/>
  <c r="K79" i="2" s="1"/>
  <c r="B67" i="2"/>
  <c r="J67" i="2" s="1"/>
  <c r="I66" i="2"/>
  <c r="G66" i="2"/>
  <c r="H78" i="2" s="1"/>
  <c r="F66" i="2"/>
  <c r="N66" i="2" s="1"/>
  <c r="E66" i="2"/>
  <c r="M66" i="2" s="1"/>
  <c r="D66" i="2"/>
  <c r="L66" i="2" s="1"/>
  <c r="C66" i="2"/>
  <c r="K66" i="2" s="1"/>
  <c r="B66" i="2"/>
  <c r="J66" i="2" s="1"/>
  <c r="O65" i="2"/>
  <c r="I65" i="2"/>
  <c r="G65" i="2"/>
  <c r="H65" i="2" s="1"/>
  <c r="F65" i="2"/>
  <c r="E65" i="2"/>
  <c r="M65" i="2" s="1"/>
  <c r="D65" i="2"/>
  <c r="L65" i="2" s="1"/>
  <c r="C65" i="2"/>
  <c r="K65" i="2" s="1"/>
  <c r="B65" i="2"/>
  <c r="J65" i="2" s="1"/>
  <c r="I64" i="2"/>
  <c r="O64" i="2" s="1"/>
  <c r="G64" i="2"/>
  <c r="H76" i="2" s="1"/>
  <c r="F64" i="2"/>
  <c r="N64" i="2" s="1"/>
  <c r="E64" i="2"/>
  <c r="M76" i="2" s="1"/>
  <c r="D64" i="2"/>
  <c r="L64" i="2" s="1"/>
  <c r="C64" i="2"/>
  <c r="B64" i="2"/>
  <c r="J64" i="2" s="1"/>
  <c r="K63" i="2"/>
  <c r="I63" i="2"/>
  <c r="G63" i="2"/>
  <c r="H63" i="2" s="1"/>
  <c r="F63" i="2"/>
  <c r="N63" i="2" s="1"/>
  <c r="E63" i="2"/>
  <c r="M63" i="2" s="1"/>
  <c r="D63" i="2"/>
  <c r="L63" i="2" s="1"/>
  <c r="C63" i="2"/>
  <c r="B63" i="2"/>
  <c r="J63" i="2" s="1"/>
  <c r="J62" i="2"/>
  <c r="I62" i="2"/>
  <c r="O62" i="2" s="1"/>
  <c r="G62" i="2"/>
  <c r="H74" i="2" s="1"/>
  <c r="F62" i="2"/>
  <c r="N62" i="2" s="1"/>
  <c r="E62" i="2"/>
  <c r="M62" i="2" s="1"/>
  <c r="D62" i="2"/>
  <c r="L62" i="2" s="1"/>
  <c r="C62" i="2"/>
  <c r="K62" i="2" s="1"/>
  <c r="B62" i="2"/>
  <c r="O61" i="2"/>
  <c r="I61" i="2"/>
  <c r="G61" i="2"/>
  <c r="H61" i="2" s="1"/>
  <c r="F61" i="2"/>
  <c r="N61" i="2" s="1"/>
  <c r="E61" i="2"/>
  <c r="M61" i="2" s="1"/>
  <c r="D61" i="2"/>
  <c r="L61" i="2" s="1"/>
  <c r="C61" i="2"/>
  <c r="B61" i="2"/>
  <c r="J61" i="2" s="1"/>
  <c r="N60" i="2"/>
  <c r="M60" i="2"/>
  <c r="I60" i="2"/>
  <c r="O60" i="2" s="1"/>
  <c r="G60" i="2"/>
  <c r="H72" i="2" s="1"/>
  <c r="F60" i="2"/>
  <c r="E60" i="2"/>
  <c r="D60" i="2"/>
  <c r="L60" i="2" s="1"/>
  <c r="C60" i="2"/>
  <c r="K60" i="2" s="1"/>
  <c r="B60" i="2"/>
  <c r="J60" i="2" s="1"/>
  <c r="O59" i="2"/>
  <c r="L59" i="2"/>
  <c r="K59" i="2"/>
  <c r="I59" i="2"/>
  <c r="G59" i="2"/>
  <c r="H59" i="2" s="1"/>
  <c r="F59" i="2"/>
  <c r="N59" i="2" s="1"/>
  <c r="E59" i="2"/>
  <c r="D59" i="2"/>
  <c r="L71" i="2" s="1"/>
  <c r="C59" i="2"/>
  <c r="K71" i="2" s="1"/>
  <c r="B59" i="2"/>
  <c r="J59" i="2" s="1"/>
  <c r="J58" i="2"/>
  <c r="I58" i="2"/>
  <c r="G58" i="2"/>
  <c r="H70" i="2" s="1"/>
  <c r="F58" i="2"/>
  <c r="N58" i="2" s="1"/>
  <c r="E58" i="2"/>
  <c r="M58" i="2" s="1"/>
  <c r="D58" i="2"/>
  <c r="L58" i="2" s="1"/>
  <c r="C58" i="2"/>
  <c r="K58" i="2" s="1"/>
  <c r="B58" i="2"/>
  <c r="O57" i="2"/>
  <c r="I57" i="2"/>
  <c r="G57" i="2"/>
  <c r="H57" i="2" s="1"/>
  <c r="F57" i="2"/>
  <c r="N57" i="2" s="1"/>
  <c r="E57" i="2"/>
  <c r="M57" i="2" s="1"/>
  <c r="D57" i="2"/>
  <c r="L57" i="2" s="1"/>
  <c r="C57" i="2"/>
  <c r="K57" i="2" s="1"/>
  <c r="B57" i="2"/>
  <c r="J57" i="2" s="1"/>
  <c r="I56" i="2"/>
  <c r="O56" i="2" s="1"/>
  <c r="G56" i="2"/>
  <c r="H68" i="2" s="1"/>
  <c r="F56" i="2"/>
  <c r="N68" i="2" s="1"/>
  <c r="E56" i="2"/>
  <c r="M56" i="2" s="1"/>
  <c r="D56" i="2"/>
  <c r="L56" i="2" s="1"/>
  <c r="C56" i="2"/>
  <c r="K56" i="2" s="1"/>
  <c r="B56" i="2"/>
  <c r="J56" i="2" s="1"/>
  <c r="I55" i="2"/>
  <c r="G55" i="2"/>
  <c r="H55" i="2" s="1"/>
  <c r="F55" i="2"/>
  <c r="N55" i="2" s="1"/>
  <c r="E55" i="2"/>
  <c r="M55" i="2" s="1"/>
  <c r="D55" i="2"/>
  <c r="L55" i="2" s="1"/>
  <c r="C55" i="2"/>
  <c r="K55" i="2" s="1"/>
  <c r="B55" i="2"/>
  <c r="J55" i="2" s="1"/>
  <c r="I54" i="2"/>
  <c r="O54" i="2" s="1"/>
  <c r="G54" i="2"/>
  <c r="H66" i="2" s="1"/>
  <c r="F54" i="2"/>
  <c r="E54" i="2"/>
  <c r="M54" i="2" s="1"/>
  <c r="D54" i="2"/>
  <c r="L54" i="2" s="1"/>
  <c r="C54" i="2"/>
  <c r="K54" i="2" s="1"/>
  <c r="B54" i="2"/>
  <c r="J54" i="2" s="1"/>
  <c r="O53" i="2"/>
  <c r="I53" i="2"/>
  <c r="G53" i="2"/>
  <c r="H53" i="2" s="1"/>
  <c r="F53" i="2"/>
  <c r="E53" i="2"/>
  <c r="M53" i="2" s="1"/>
  <c r="D53" i="2"/>
  <c r="L53" i="2" s="1"/>
  <c r="C53" i="2"/>
  <c r="B53" i="2"/>
  <c r="K52" i="2"/>
  <c r="I52" i="2"/>
  <c r="G52" i="2"/>
  <c r="F52" i="2"/>
  <c r="E52" i="2"/>
  <c r="M52" i="2" s="1"/>
  <c r="D52" i="2"/>
  <c r="L52" i="2" s="1"/>
  <c r="C52" i="2"/>
  <c r="B52" i="2"/>
  <c r="J52" i="2" s="1"/>
  <c r="I51" i="2"/>
  <c r="H51" i="2"/>
  <c r="G51" i="2"/>
  <c r="F51" i="2"/>
  <c r="E51" i="2"/>
  <c r="D51" i="2"/>
  <c r="C51" i="2"/>
  <c r="K51" i="2" s="1"/>
  <c r="B51" i="2"/>
  <c r="J51" i="2" s="1"/>
  <c r="O50" i="2"/>
  <c r="M50" i="2"/>
  <c r="I50" i="2"/>
  <c r="H50" i="2"/>
  <c r="G50" i="2"/>
  <c r="H62" i="2" s="1"/>
  <c r="F50" i="2"/>
  <c r="E50" i="2"/>
  <c r="D50" i="2"/>
  <c r="L50" i="2" s="1"/>
  <c r="C50" i="2"/>
  <c r="K50" i="2" s="1"/>
  <c r="B50" i="2"/>
  <c r="J50" i="2" s="1"/>
  <c r="J49" i="2"/>
  <c r="I49" i="2"/>
  <c r="G49" i="2"/>
  <c r="F49" i="2"/>
  <c r="E49" i="2"/>
  <c r="M49" i="2" s="1"/>
  <c r="D49" i="2"/>
  <c r="L49" i="2" s="1"/>
  <c r="C49" i="2"/>
  <c r="K49" i="2" s="1"/>
  <c r="B49" i="2"/>
  <c r="I48" i="2"/>
  <c r="O48" i="2" s="1"/>
  <c r="H48" i="2"/>
  <c r="G48" i="2"/>
  <c r="H60" i="2" s="1"/>
  <c r="F48" i="2"/>
  <c r="E48" i="2"/>
  <c r="M48" i="2" s="1"/>
  <c r="D48" i="2"/>
  <c r="C48" i="2"/>
  <c r="B48" i="2"/>
  <c r="J48" i="2" s="1"/>
  <c r="M47" i="2"/>
  <c r="L47" i="2"/>
  <c r="I47" i="2"/>
  <c r="G47" i="2"/>
  <c r="F47" i="2"/>
  <c r="E47" i="2"/>
  <c r="D47" i="2"/>
  <c r="C47" i="2"/>
  <c r="B47" i="2"/>
  <c r="J47" i="2" s="1"/>
  <c r="J46" i="2"/>
  <c r="I46" i="2"/>
  <c r="G46" i="2"/>
  <c r="H58" i="2" s="1"/>
  <c r="F46" i="2"/>
  <c r="E46" i="2"/>
  <c r="D46" i="2"/>
  <c r="L46" i="2" s="1"/>
  <c r="C46" i="2"/>
  <c r="K46" i="2" s="1"/>
  <c r="B46" i="2"/>
  <c r="O45" i="2"/>
  <c r="I45" i="2"/>
  <c r="G45" i="2"/>
  <c r="H45" i="2" s="1"/>
  <c r="F45" i="2"/>
  <c r="E45" i="2"/>
  <c r="M45" i="2" s="1"/>
  <c r="D45" i="2"/>
  <c r="L45" i="2" s="1"/>
  <c r="C45" i="2"/>
  <c r="B45" i="2"/>
  <c r="J45" i="2" s="1"/>
  <c r="L44" i="2"/>
  <c r="I44" i="2"/>
  <c r="G44" i="2"/>
  <c r="F44" i="2"/>
  <c r="E44" i="2"/>
  <c r="M44" i="2" s="1"/>
  <c r="D44" i="2"/>
  <c r="C44" i="2"/>
  <c r="K44" i="2" s="1"/>
  <c r="B44" i="2"/>
  <c r="J44" i="2" s="1"/>
  <c r="I43" i="2"/>
  <c r="G43" i="2"/>
  <c r="F43" i="2"/>
  <c r="E43" i="2"/>
  <c r="D43" i="2"/>
  <c r="C43" i="2"/>
  <c r="K43" i="2" s="1"/>
  <c r="B43" i="2"/>
  <c r="J43" i="2" s="1"/>
  <c r="I42" i="2"/>
  <c r="G42" i="2"/>
  <c r="H54" i="2" s="1"/>
  <c r="F42" i="2"/>
  <c r="E42" i="2"/>
  <c r="M42" i="2" s="1"/>
  <c r="D42" i="2"/>
  <c r="L42" i="2" s="1"/>
  <c r="C42" i="2"/>
  <c r="K42" i="2" s="1"/>
  <c r="B42" i="2"/>
  <c r="I41" i="2"/>
  <c r="G41" i="2"/>
  <c r="F41" i="2"/>
  <c r="E41" i="2"/>
  <c r="M41" i="2" s="1"/>
  <c r="D41" i="2"/>
  <c r="L41" i="2" s="1"/>
  <c r="C41" i="2"/>
  <c r="K41" i="2" s="1"/>
  <c r="B41" i="2"/>
  <c r="J41" i="2" s="1"/>
  <c r="I40" i="2"/>
  <c r="O52" i="2" s="1"/>
  <c r="G40" i="2"/>
  <c r="F40" i="2"/>
  <c r="E40" i="2"/>
  <c r="M40" i="2" s="1"/>
  <c r="D40" i="2"/>
  <c r="L40" i="2" s="1"/>
  <c r="C40" i="2"/>
  <c r="B40" i="2"/>
  <c r="L39" i="2"/>
  <c r="I39" i="2"/>
  <c r="G39" i="2"/>
  <c r="F39" i="2"/>
  <c r="E39" i="2"/>
  <c r="M39" i="2" s="1"/>
  <c r="D39" i="2"/>
  <c r="C39" i="2"/>
  <c r="B39" i="2"/>
  <c r="J38" i="2"/>
  <c r="I38" i="2"/>
  <c r="G38" i="2"/>
  <c r="F38" i="2"/>
  <c r="E38" i="2"/>
  <c r="M38" i="2" s="1"/>
  <c r="D38" i="2"/>
  <c r="C38" i="2"/>
  <c r="K38" i="2" s="1"/>
  <c r="B38" i="2"/>
  <c r="O37" i="2"/>
  <c r="I37" i="2"/>
  <c r="O49" i="2" s="1"/>
  <c r="G37" i="2"/>
  <c r="H37" i="2" s="1"/>
  <c r="F37" i="2"/>
  <c r="E37" i="2"/>
  <c r="D37" i="2"/>
  <c r="C37" i="2"/>
  <c r="B37" i="2"/>
  <c r="J37" i="2" s="1"/>
  <c r="I36" i="2"/>
  <c r="G36" i="2"/>
  <c r="F36" i="2"/>
  <c r="E36" i="2"/>
  <c r="D36" i="2"/>
  <c r="L36" i="2" s="1"/>
  <c r="C36" i="2"/>
  <c r="B36" i="2"/>
  <c r="L35" i="2"/>
  <c r="K35" i="2"/>
  <c r="I35" i="2"/>
  <c r="G35" i="2"/>
  <c r="H47" i="2" s="1"/>
  <c r="F35" i="2"/>
  <c r="E35" i="2"/>
  <c r="M35" i="2" s="1"/>
  <c r="D35" i="2"/>
  <c r="C35" i="2"/>
  <c r="B35" i="2"/>
  <c r="J35" i="2" s="1"/>
  <c r="I34" i="2"/>
  <c r="H34" i="2"/>
  <c r="G34" i="2"/>
  <c r="H46" i="2" s="1"/>
  <c r="F34" i="2"/>
  <c r="E34" i="2"/>
  <c r="M34" i="2" s="1"/>
  <c r="D34" i="2"/>
  <c r="C34" i="2"/>
  <c r="B34" i="2"/>
  <c r="I33" i="2"/>
  <c r="G33" i="2"/>
  <c r="H33" i="2" s="1"/>
  <c r="F33" i="2"/>
  <c r="E33" i="2"/>
  <c r="D33" i="2"/>
  <c r="C33" i="2"/>
  <c r="K33" i="2" s="1"/>
  <c r="B33" i="2"/>
  <c r="J33" i="2" s="1"/>
  <c r="J32" i="2"/>
  <c r="I32" i="2"/>
  <c r="O44" i="2" s="1"/>
  <c r="G32" i="2"/>
  <c r="F32" i="2"/>
  <c r="E32" i="2"/>
  <c r="M32" i="2" s="1"/>
  <c r="D32" i="2"/>
  <c r="C32" i="2"/>
  <c r="K32" i="2" s="1"/>
  <c r="B32" i="2"/>
  <c r="M31" i="2"/>
  <c r="I31" i="2"/>
  <c r="G31" i="2"/>
  <c r="H43" i="2" s="1"/>
  <c r="F31" i="2"/>
  <c r="E31" i="2"/>
  <c r="D31" i="2"/>
  <c r="L31" i="2" s="1"/>
  <c r="C31" i="2"/>
  <c r="B31" i="2"/>
  <c r="J30" i="2"/>
  <c r="I30" i="2"/>
  <c r="O42" i="2" s="1"/>
  <c r="G30" i="2"/>
  <c r="H42" i="2" s="1"/>
  <c r="F30" i="2"/>
  <c r="E30" i="2"/>
  <c r="M30" i="2" s="1"/>
  <c r="D30" i="2"/>
  <c r="L30" i="2" s="1"/>
  <c r="C30" i="2"/>
  <c r="B30" i="2"/>
  <c r="I29" i="2"/>
  <c r="O41" i="2" s="1"/>
  <c r="G29" i="2"/>
  <c r="H29" i="2" s="1"/>
  <c r="F29" i="2"/>
  <c r="E29" i="2"/>
  <c r="D29" i="2"/>
  <c r="C29" i="2"/>
  <c r="K29" i="2" s="1"/>
  <c r="B29" i="2"/>
  <c r="J29" i="2" s="1"/>
  <c r="I28" i="2"/>
  <c r="G28" i="2"/>
  <c r="H28" i="2" s="1"/>
  <c r="F28" i="2"/>
  <c r="E28" i="2"/>
  <c r="D28" i="2"/>
  <c r="C28" i="2"/>
  <c r="K28" i="2" s="1"/>
  <c r="B28" i="2"/>
  <c r="J28" i="2" s="1"/>
  <c r="I27" i="2"/>
  <c r="G27" i="2"/>
  <c r="H39" i="2" s="1"/>
  <c r="F27" i="2"/>
  <c r="E27" i="2"/>
  <c r="D27" i="2"/>
  <c r="L27" i="2" s="1"/>
  <c r="C27" i="2"/>
  <c r="K27" i="2" s="1"/>
  <c r="B27" i="2"/>
  <c r="J27" i="2" s="1"/>
  <c r="L26" i="2"/>
  <c r="I26" i="2"/>
  <c r="O26" i="2" s="1"/>
  <c r="G26" i="2"/>
  <c r="H38" i="2" s="1"/>
  <c r="F26" i="2"/>
  <c r="E26" i="2"/>
  <c r="M26" i="2" s="1"/>
  <c r="D26" i="2"/>
  <c r="C26" i="2"/>
  <c r="B26" i="2"/>
  <c r="O25" i="2"/>
  <c r="I25" i="2"/>
  <c r="G25" i="2"/>
  <c r="F25" i="2"/>
  <c r="E25" i="2"/>
  <c r="M25" i="2" s="1"/>
  <c r="D25" i="2"/>
  <c r="L25" i="2" s="1"/>
  <c r="C25" i="2"/>
  <c r="K25" i="2" s="1"/>
  <c r="B25" i="2"/>
  <c r="I24" i="2"/>
  <c r="O36" i="2" s="1"/>
  <c r="G24" i="2"/>
  <c r="H24" i="2" s="1"/>
  <c r="F24" i="2"/>
  <c r="E24" i="2"/>
  <c r="M24" i="2" s="1"/>
  <c r="D24" i="2"/>
  <c r="L24" i="2" s="1"/>
  <c r="C24" i="2"/>
  <c r="K24" i="2" s="1"/>
  <c r="B24" i="2"/>
  <c r="J24" i="2" s="1"/>
  <c r="I23" i="2"/>
  <c r="O23" i="2" s="1"/>
  <c r="G23" i="2"/>
  <c r="H35" i="2" s="1"/>
  <c r="F23" i="2"/>
  <c r="E23" i="2"/>
  <c r="M23" i="2" s="1"/>
  <c r="D23" i="2"/>
  <c r="L23" i="2" s="1"/>
  <c r="C23" i="2"/>
  <c r="B23" i="2"/>
  <c r="J23" i="2" s="1"/>
  <c r="I22" i="2"/>
  <c r="O34" i="2" s="1"/>
  <c r="G22" i="2"/>
  <c r="F22" i="2"/>
  <c r="E22" i="2"/>
  <c r="M22" i="2" s="1"/>
  <c r="D22" i="2"/>
  <c r="L22" i="2" s="1"/>
  <c r="C22" i="2"/>
  <c r="K22" i="2" s="1"/>
  <c r="B22" i="2"/>
  <c r="J22" i="2" s="1"/>
  <c r="I21" i="2"/>
  <c r="O33" i="2" s="1"/>
  <c r="G21" i="2"/>
  <c r="F21" i="2"/>
  <c r="E21" i="2"/>
  <c r="M33" i="2" s="1"/>
  <c r="D21" i="2"/>
  <c r="L21" i="2" s="1"/>
  <c r="C21" i="2"/>
  <c r="K21" i="2" s="1"/>
  <c r="B21" i="2"/>
  <c r="J21" i="2" s="1"/>
  <c r="O20" i="2"/>
  <c r="I20" i="2"/>
  <c r="G20" i="2"/>
  <c r="H20" i="2" s="1"/>
  <c r="F20" i="2"/>
  <c r="E20" i="2"/>
  <c r="M20" i="2" s="1"/>
  <c r="D20" i="2"/>
  <c r="L20" i="2" s="1"/>
  <c r="C20" i="2"/>
  <c r="K20" i="2" s="1"/>
  <c r="B20" i="2"/>
  <c r="J20" i="2" s="1"/>
  <c r="O19" i="2"/>
  <c r="I19" i="2"/>
  <c r="O31" i="2" s="1"/>
  <c r="G19" i="2"/>
  <c r="H19" i="2" s="1"/>
  <c r="F19" i="2"/>
  <c r="E19" i="2"/>
  <c r="M19" i="2" s="1"/>
  <c r="D19" i="2"/>
  <c r="L19" i="2" s="1"/>
  <c r="C19" i="2"/>
  <c r="K19" i="2" s="1"/>
  <c r="B19" i="2"/>
  <c r="J19" i="2" s="1"/>
  <c r="I18" i="2"/>
  <c r="O18" i="2" s="1"/>
  <c r="H18" i="2"/>
  <c r="G18" i="2"/>
  <c r="H30" i="2" s="1"/>
  <c r="F18" i="2"/>
  <c r="E18" i="2"/>
  <c r="M18" i="2" s="1"/>
  <c r="D18" i="2"/>
  <c r="L18" i="2" s="1"/>
  <c r="C18" i="2"/>
  <c r="K18" i="2" s="1"/>
  <c r="B18" i="2"/>
  <c r="J18" i="2" s="1"/>
  <c r="O17" i="2"/>
  <c r="I17" i="2"/>
  <c r="G17" i="2"/>
  <c r="H17" i="2" s="1"/>
  <c r="F17" i="2"/>
  <c r="E17" i="2"/>
  <c r="M17" i="2" s="1"/>
  <c r="D17" i="2"/>
  <c r="L17" i="2" s="1"/>
  <c r="C17" i="2"/>
  <c r="K17" i="2" s="1"/>
  <c r="B17" i="2"/>
  <c r="J17" i="2" s="1"/>
  <c r="I16" i="2"/>
  <c r="O28" i="2" s="1"/>
  <c r="G16" i="2"/>
  <c r="F16" i="2"/>
  <c r="E16" i="2"/>
  <c r="M28" i="2" s="1"/>
  <c r="D16" i="2"/>
  <c r="L28" i="2" s="1"/>
  <c r="C16" i="2"/>
  <c r="B16" i="2"/>
  <c r="I15" i="2"/>
  <c r="G15" i="2"/>
  <c r="F15" i="2"/>
  <c r="E15" i="2"/>
  <c r="D15" i="2"/>
  <c r="C15" i="2"/>
  <c r="B15" i="2"/>
  <c r="I14" i="2"/>
  <c r="G14" i="2"/>
  <c r="H26" i="2" s="1"/>
  <c r="F14" i="2"/>
  <c r="E14" i="2"/>
  <c r="D14" i="2"/>
  <c r="C14" i="2"/>
  <c r="B14" i="2"/>
  <c r="I13" i="2"/>
  <c r="G13" i="2"/>
  <c r="F13" i="2"/>
  <c r="E13" i="2"/>
  <c r="D13" i="2"/>
  <c r="C13" i="2"/>
  <c r="B13" i="2"/>
  <c r="J25" i="2" s="1"/>
  <c r="I12" i="2"/>
  <c r="O24" i="2" s="1"/>
  <c r="G12" i="2"/>
  <c r="F12" i="2"/>
  <c r="E12" i="2"/>
  <c r="D12" i="2"/>
  <c r="C12" i="2"/>
  <c r="B12" i="2"/>
  <c r="I11" i="2"/>
  <c r="G11" i="2"/>
  <c r="F11" i="2"/>
  <c r="E11" i="2"/>
  <c r="D11" i="2"/>
  <c r="C11" i="2"/>
  <c r="K23" i="2" s="1"/>
  <c r="B11" i="2"/>
  <c r="I10" i="2"/>
  <c r="O22" i="2" s="1"/>
  <c r="G10" i="2"/>
  <c r="H22" i="2" s="1"/>
  <c r="F10" i="2"/>
  <c r="E10" i="2"/>
  <c r="D10" i="2"/>
  <c r="C10" i="2"/>
  <c r="B10" i="2"/>
  <c r="I9" i="2"/>
  <c r="G9" i="2"/>
  <c r="H21" i="2" s="1"/>
  <c r="F9" i="2"/>
  <c r="E9" i="2"/>
  <c r="D9" i="2"/>
  <c r="C9" i="2"/>
  <c r="B9" i="2"/>
  <c r="I8" i="2"/>
  <c r="G8" i="2"/>
  <c r="F8" i="2"/>
  <c r="E8" i="2"/>
  <c r="D8" i="2"/>
  <c r="C8" i="2"/>
  <c r="B8" i="2"/>
  <c r="I7" i="2"/>
  <c r="G7" i="2"/>
  <c r="F7" i="2"/>
  <c r="E7" i="2"/>
  <c r="D7" i="2"/>
  <c r="C7" i="2"/>
  <c r="B7" i="2"/>
  <c r="I6" i="2"/>
  <c r="G6" i="2"/>
  <c r="F6" i="2"/>
  <c r="E6" i="2"/>
  <c r="D6" i="2"/>
  <c r="C6" i="2"/>
  <c r="B6" i="2"/>
  <c r="I5" i="2"/>
  <c r="G5" i="2"/>
  <c r="F5" i="2"/>
  <c r="E5" i="2"/>
  <c r="D5" i="2"/>
  <c r="C5" i="2"/>
  <c r="B5" i="2"/>
  <c r="A1" i="2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D174" i="1" s="1"/>
  <c r="D173" i="1"/>
  <c r="C174" i="1"/>
  <c r="C175" i="1"/>
  <c r="C176" i="1"/>
  <c r="C177" i="1"/>
  <c r="D177" i="1"/>
  <c r="C178" i="1"/>
  <c r="C179" i="1"/>
  <c r="C180" i="1"/>
  <c r="C181" i="1"/>
  <c r="D181" i="1"/>
  <c r="C182" i="1"/>
  <c r="C183" i="1"/>
  <c r="C184" i="1"/>
  <c r="C185" i="1"/>
  <c r="D185" i="1"/>
  <c r="C186" i="1"/>
  <c r="C187" i="1"/>
  <c r="C188" i="1"/>
  <c r="C189" i="1"/>
  <c r="D189" i="1"/>
  <c r="C190" i="1"/>
  <c r="C191" i="1"/>
  <c r="C192" i="1"/>
  <c r="C193" i="1"/>
  <c r="D193" i="1"/>
  <c r="C194" i="1"/>
  <c r="C195" i="1"/>
  <c r="C196" i="1"/>
  <c r="C197" i="1"/>
  <c r="D197" i="1"/>
  <c r="C198" i="1"/>
  <c r="C199" i="1"/>
  <c r="C200" i="1"/>
  <c r="C201" i="1"/>
  <c r="D201" i="1"/>
  <c r="C202" i="1"/>
  <c r="C203" i="1"/>
  <c r="C204" i="1"/>
  <c r="C205" i="1"/>
  <c r="D205" i="1"/>
  <c r="C206" i="1"/>
  <c r="C207" i="1"/>
  <c r="C208" i="1"/>
  <c r="C209" i="1"/>
  <c r="D209" i="1"/>
  <c r="C210" i="1"/>
  <c r="C211" i="1"/>
  <c r="C212" i="1"/>
  <c r="C213" i="1"/>
  <c r="D213" i="1"/>
  <c r="C214" i="1"/>
  <c r="C215" i="1"/>
  <c r="C216" i="1"/>
  <c r="C217" i="1"/>
  <c r="D217" i="1"/>
  <c r="C218" i="1"/>
  <c r="C219" i="1"/>
  <c r="C220" i="1"/>
  <c r="C221" i="1"/>
  <c r="D221" i="1"/>
  <c r="C222" i="1"/>
  <c r="C223" i="1"/>
  <c r="C224" i="1"/>
  <c r="C225" i="1"/>
  <c r="D225" i="1"/>
  <c r="C226" i="1"/>
  <c r="C227" i="1"/>
  <c r="C228" i="1"/>
  <c r="C229" i="1"/>
  <c r="D229" i="1"/>
  <c r="C230" i="1"/>
  <c r="C231" i="1"/>
  <c r="C232" i="1"/>
  <c r="U23" i="4" l="1"/>
  <c r="K29" i="4"/>
  <c r="V29" i="4" s="1"/>
  <c r="H53" i="4"/>
  <c r="K130" i="4"/>
  <c r="V130" i="4" s="1"/>
  <c r="R137" i="4"/>
  <c r="U141" i="4"/>
  <c r="T154" i="4"/>
  <c r="T190" i="4"/>
  <c r="J196" i="4"/>
  <c r="G8" i="4"/>
  <c r="Q12" i="4"/>
  <c r="K25" i="4"/>
  <c r="V25" i="4" s="1"/>
  <c r="U26" i="4"/>
  <c r="R41" i="4"/>
  <c r="U44" i="4"/>
  <c r="K45" i="4"/>
  <c r="V45" i="4" s="1"/>
  <c r="J56" i="4"/>
  <c r="T58" i="4"/>
  <c r="J60" i="4"/>
  <c r="U72" i="4"/>
  <c r="T74" i="4"/>
  <c r="J86" i="4"/>
  <c r="S98" i="4"/>
  <c r="K101" i="4"/>
  <c r="V101" i="4" s="1"/>
  <c r="K102" i="4"/>
  <c r="V102" i="4" s="1"/>
  <c r="K109" i="4"/>
  <c r="V109" i="4" s="1"/>
  <c r="Q120" i="4"/>
  <c r="G126" i="4"/>
  <c r="T129" i="4"/>
  <c r="S140" i="4"/>
  <c r="I164" i="4"/>
  <c r="S175" i="4"/>
  <c r="R176" i="4"/>
  <c r="T198" i="4"/>
  <c r="S203" i="4"/>
  <c r="R218" i="4"/>
  <c r="U232" i="4"/>
  <c r="H234" i="4"/>
  <c r="R30" i="4"/>
  <c r="H142" i="4"/>
  <c r="R162" i="4"/>
  <c r="R221" i="4"/>
  <c r="G196" i="3"/>
  <c r="K4" i="4"/>
  <c r="V4" i="4" s="1"/>
  <c r="Q7" i="4"/>
  <c r="G11" i="4"/>
  <c r="Q23" i="4"/>
  <c r="K24" i="4"/>
  <c r="V24" i="4" s="1"/>
  <c r="H27" i="4"/>
  <c r="G29" i="4"/>
  <c r="S30" i="4"/>
  <c r="U40" i="4"/>
  <c r="G45" i="4"/>
  <c r="H47" i="4"/>
  <c r="H55" i="4"/>
  <c r="U57" i="4"/>
  <c r="K59" i="4"/>
  <c r="V59" i="4" s="1"/>
  <c r="J64" i="4"/>
  <c r="G75" i="4"/>
  <c r="J87" i="4"/>
  <c r="G103" i="4"/>
  <c r="J114" i="4"/>
  <c r="G121" i="4"/>
  <c r="J125" i="4"/>
  <c r="G130" i="4"/>
  <c r="R141" i="4"/>
  <c r="K160" i="4"/>
  <c r="V160" i="4" s="1"/>
  <c r="Q165" i="4"/>
  <c r="R172" i="4"/>
  <c r="R173" i="4"/>
  <c r="T178" i="4"/>
  <c r="Q207" i="4"/>
  <c r="S207" i="4"/>
  <c r="S218" i="4"/>
  <c r="Q230" i="4"/>
  <c r="R230" i="4"/>
  <c r="V233" i="4"/>
  <c r="K234" i="4"/>
  <c r="U52" i="4"/>
  <c r="R66" i="4"/>
  <c r="Q127" i="4"/>
  <c r="G127" i="4"/>
  <c r="U145" i="4"/>
  <c r="K145" i="4"/>
  <c r="V145" i="4" s="1"/>
  <c r="H178" i="4"/>
  <c r="H216" i="4"/>
  <c r="H5" i="4"/>
  <c r="Q6" i="4"/>
  <c r="S7" i="4"/>
  <c r="I8" i="4"/>
  <c r="H11" i="4"/>
  <c r="K14" i="4"/>
  <c r="V14" i="4" s="1"/>
  <c r="S16" i="4"/>
  <c r="R22" i="4"/>
  <c r="S28" i="4"/>
  <c r="G33" i="4"/>
  <c r="H39" i="4"/>
  <c r="I40" i="4"/>
  <c r="G42" i="4"/>
  <c r="H51" i="4"/>
  <c r="G61" i="4"/>
  <c r="G63" i="4"/>
  <c r="H67" i="4"/>
  <c r="H69" i="4"/>
  <c r="G71" i="4"/>
  <c r="K73" i="4"/>
  <c r="V73" i="4" s="1"/>
  <c r="H75" i="4"/>
  <c r="Q79" i="4"/>
  <c r="G79" i="4"/>
  <c r="J85" i="4"/>
  <c r="T85" i="4"/>
  <c r="Q87" i="4"/>
  <c r="G87" i="4"/>
  <c r="H91" i="4"/>
  <c r="H98" i="4"/>
  <c r="Q119" i="4"/>
  <c r="G119" i="4"/>
  <c r="Q133" i="4"/>
  <c r="G133" i="4"/>
  <c r="H157" i="4"/>
  <c r="G215" i="4"/>
  <c r="Q215" i="4"/>
  <c r="H40" i="4"/>
  <c r="T94" i="4"/>
  <c r="J94" i="4"/>
  <c r="U132" i="4"/>
  <c r="K132" i="4"/>
  <c r="V132" i="4" s="1"/>
  <c r="G187" i="4"/>
  <c r="Q187" i="4"/>
  <c r="I5" i="4"/>
  <c r="U10" i="4"/>
  <c r="I11" i="4"/>
  <c r="G13" i="4"/>
  <c r="S22" i="4"/>
  <c r="G31" i="4"/>
  <c r="I39" i="4"/>
  <c r="U42" i="4"/>
  <c r="K48" i="4"/>
  <c r="V48" i="4" s="1"/>
  <c r="T50" i="4"/>
  <c r="K51" i="4"/>
  <c r="V51" i="4" s="1"/>
  <c r="G53" i="4"/>
  <c r="G55" i="4"/>
  <c r="U58" i="4"/>
  <c r="H61" i="4"/>
  <c r="H63" i="4"/>
  <c r="U65" i="4"/>
  <c r="U66" i="4"/>
  <c r="K67" i="4"/>
  <c r="V67" i="4" s="1"/>
  <c r="K75" i="4"/>
  <c r="V75" i="4" s="1"/>
  <c r="H77" i="4"/>
  <c r="U79" i="4"/>
  <c r="S115" i="4"/>
  <c r="G129" i="4"/>
  <c r="Q129" i="4"/>
  <c r="K133" i="4"/>
  <c r="V133" i="4" s="1"/>
  <c r="U139" i="4"/>
  <c r="K139" i="4"/>
  <c r="V139" i="4" s="1"/>
  <c r="J147" i="4"/>
  <c r="H188" i="4"/>
  <c r="J193" i="4"/>
  <c r="T214" i="4"/>
  <c r="J214" i="4"/>
  <c r="Q218" i="4"/>
  <c r="G218" i="4"/>
  <c r="H25" i="4"/>
  <c r="H59" i="4"/>
  <c r="H83" i="4"/>
  <c r="K89" i="4"/>
  <c r="V89" i="4" s="1"/>
  <c r="U89" i="4"/>
  <c r="K108" i="4"/>
  <c r="V108" i="4" s="1"/>
  <c r="U108" i="4"/>
  <c r="I120" i="4"/>
  <c r="S120" i="4"/>
  <c r="T123" i="4"/>
  <c r="J123" i="4"/>
  <c r="G132" i="4"/>
  <c r="Q132" i="4"/>
  <c r="G135" i="4"/>
  <c r="Q135" i="4"/>
  <c r="J155" i="4"/>
  <c r="T155" i="4"/>
  <c r="Q171" i="4"/>
  <c r="G171" i="4"/>
  <c r="T181" i="4"/>
  <c r="J181" i="4"/>
  <c r="H203" i="4"/>
  <c r="R4" i="4"/>
  <c r="H7" i="4"/>
  <c r="S13" i="4"/>
  <c r="G27" i="4"/>
  <c r="H28" i="4"/>
  <c r="U50" i="4"/>
  <c r="T76" i="4"/>
  <c r="J76" i="4"/>
  <c r="U86" i="4"/>
  <c r="K86" i="4"/>
  <c r="V86" i="4" s="1"/>
  <c r="I90" i="4"/>
  <c r="S90" i="4"/>
  <c r="Q95" i="4"/>
  <c r="G95" i="4"/>
  <c r="J106" i="4"/>
  <c r="T106" i="4"/>
  <c r="I109" i="4"/>
  <c r="S109" i="4"/>
  <c r="Q113" i="4"/>
  <c r="G113" i="4"/>
  <c r="J130" i="4"/>
  <c r="T130" i="4"/>
  <c r="U136" i="4"/>
  <c r="K136" i="4"/>
  <c r="V136" i="4" s="1"/>
  <c r="Q140" i="4"/>
  <c r="G140" i="4"/>
  <c r="I151" i="4"/>
  <c r="S151" i="4"/>
  <c r="J163" i="4"/>
  <c r="T163" i="4"/>
  <c r="Q186" i="4"/>
  <c r="G186" i="4"/>
  <c r="H223" i="4"/>
  <c r="S82" i="4"/>
  <c r="I83" i="4"/>
  <c r="I86" i="4"/>
  <c r="I91" i="4"/>
  <c r="T97" i="4"/>
  <c r="J98" i="4"/>
  <c r="H99" i="4"/>
  <c r="T101" i="4"/>
  <c r="J102" i="4"/>
  <c r="I110" i="4"/>
  <c r="J112" i="4"/>
  <c r="S114" i="4"/>
  <c r="T115" i="4"/>
  <c r="J116" i="4"/>
  <c r="S117" i="4"/>
  <c r="J118" i="4"/>
  <c r="K125" i="4"/>
  <c r="V125" i="4" s="1"/>
  <c r="I126" i="4"/>
  <c r="T133" i="4"/>
  <c r="I136" i="4"/>
  <c r="J139" i="4"/>
  <c r="J143" i="4"/>
  <c r="J144" i="4"/>
  <c r="H145" i="4"/>
  <c r="K147" i="4"/>
  <c r="V147" i="4" s="1"/>
  <c r="S156" i="4"/>
  <c r="I157" i="4"/>
  <c r="H158" i="4"/>
  <c r="Q159" i="4"/>
  <c r="R160" i="4"/>
  <c r="T164" i="4"/>
  <c r="I166" i="4"/>
  <c r="T168" i="4"/>
  <c r="I172" i="4"/>
  <c r="S179" i="4"/>
  <c r="H184" i="4"/>
  <c r="U217" i="4"/>
  <c r="U220" i="4"/>
  <c r="J222" i="4"/>
  <c r="Q223" i="4"/>
  <c r="R224" i="4"/>
  <c r="J228" i="4"/>
  <c r="J79" i="4"/>
  <c r="I81" i="4"/>
  <c r="T82" i="4"/>
  <c r="J83" i="4"/>
  <c r="H106" i="4"/>
  <c r="S112" i="4"/>
  <c r="U116" i="4"/>
  <c r="K118" i="4"/>
  <c r="V118" i="4" s="1"/>
  <c r="T120" i="4"/>
  <c r="I123" i="4"/>
  <c r="G124" i="4"/>
  <c r="J126" i="4"/>
  <c r="I133" i="4"/>
  <c r="H140" i="4"/>
  <c r="J141" i="4"/>
  <c r="G142" i="4"/>
  <c r="S143" i="4"/>
  <c r="R144" i="4"/>
  <c r="I145" i="4"/>
  <c r="G146" i="4"/>
  <c r="G147" i="4"/>
  <c r="I158" i="4"/>
  <c r="I168" i="4"/>
  <c r="J171" i="4"/>
  <c r="S182" i="4"/>
  <c r="S183" i="4"/>
  <c r="U189" i="4"/>
  <c r="G193" i="4"/>
  <c r="I205" i="4"/>
  <c r="K208" i="4"/>
  <c r="V208" i="4" s="1"/>
  <c r="Q209" i="4"/>
  <c r="U209" i="4"/>
  <c r="S220" i="4"/>
  <c r="I221" i="4"/>
  <c r="T225" i="4"/>
  <c r="K78" i="4"/>
  <c r="V78" i="4" s="1"/>
  <c r="S80" i="4"/>
  <c r="U81" i="4"/>
  <c r="U85" i="4"/>
  <c r="H90" i="4"/>
  <c r="U111" i="4"/>
  <c r="H114" i="4"/>
  <c r="Q115" i="4"/>
  <c r="G116" i="4"/>
  <c r="G118" i="4"/>
  <c r="T128" i="4"/>
  <c r="S129" i="4"/>
  <c r="G131" i="4"/>
  <c r="T132" i="4"/>
  <c r="G134" i="4"/>
  <c r="I147" i="4"/>
  <c r="T158" i="4"/>
  <c r="T162" i="4"/>
  <c r="R185" i="4"/>
  <c r="S105" i="4"/>
  <c r="I105" i="4"/>
  <c r="R120" i="4"/>
  <c r="H120" i="4"/>
  <c r="G143" i="4"/>
  <c r="Q143" i="4"/>
  <c r="U148" i="4"/>
  <c r="K148" i="4"/>
  <c r="V148" i="4" s="1"/>
  <c r="H226" i="4"/>
  <c r="R226" i="4"/>
  <c r="H232" i="4"/>
  <c r="R232" i="4"/>
  <c r="J48" i="4"/>
  <c r="K62" i="4"/>
  <c r="V62" i="4" s="1"/>
  <c r="J70" i="4"/>
  <c r="S92" i="4"/>
  <c r="I92" i="4"/>
  <c r="J119" i="4"/>
  <c r="T119" i="4"/>
  <c r="R170" i="4"/>
  <c r="H170" i="4"/>
  <c r="Q176" i="4"/>
  <c r="G176" i="4"/>
  <c r="G191" i="4"/>
  <c r="Q191" i="4"/>
  <c r="I200" i="4"/>
  <c r="S200" i="4"/>
  <c r="J229" i="4"/>
  <c r="T229" i="4"/>
  <c r="S233" i="4"/>
  <c r="I233" i="4"/>
  <c r="I234" i="4" s="1"/>
  <c r="R13" i="4"/>
  <c r="U15" i="4"/>
  <c r="R18" i="4"/>
  <c r="U19" i="4"/>
  <c r="S20" i="4"/>
  <c r="K22" i="4"/>
  <c r="V22" i="4" s="1"/>
  <c r="U34" i="4"/>
  <c r="Q35" i="4"/>
  <c r="U36" i="4"/>
  <c r="K37" i="4"/>
  <c r="V37" i="4" s="1"/>
  <c r="R38" i="4"/>
  <c r="G39" i="4"/>
  <c r="R42" i="4"/>
  <c r="H43" i="4"/>
  <c r="U49" i="4"/>
  <c r="R50" i="4"/>
  <c r="G51" i="4"/>
  <c r="U56" i="4"/>
  <c r="G59" i="4"/>
  <c r="U64" i="4"/>
  <c r="U71" i="4"/>
  <c r="T72" i="4"/>
  <c r="H73" i="4"/>
  <c r="T77" i="4"/>
  <c r="J78" i="4"/>
  <c r="T81" i="4"/>
  <c r="J84" i="4"/>
  <c r="T84" i="4"/>
  <c r="S85" i="4"/>
  <c r="K87" i="4"/>
  <c r="V87" i="4" s="1"/>
  <c r="U87" i="4"/>
  <c r="J88" i="4"/>
  <c r="T89" i="4"/>
  <c r="R93" i="4"/>
  <c r="H93" i="4"/>
  <c r="Q94" i="4"/>
  <c r="J100" i="4"/>
  <c r="T100" i="4"/>
  <c r="S101" i="4"/>
  <c r="S108" i="4"/>
  <c r="I108" i="4"/>
  <c r="Q112" i="4"/>
  <c r="K114" i="4"/>
  <c r="V114" i="4" s="1"/>
  <c r="U114" i="4"/>
  <c r="U122" i="4"/>
  <c r="G128" i="4"/>
  <c r="Q128" i="4"/>
  <c r="S132" i="4"/>
  <c r="I132" i="4"/>
  <c r="S135" i="4"/>
  <c r="I135" i="4"/>
  <c r="R138" i="4"/>
  <c r="H138" i="4"/>
  <c r="T146" i="4"/>
  <c r="J148" i="4"/>
  <c r="T148" i="4"/>
  <c r="Q169" i="4"/>
  <c r="G169" i="4"/>
  <c r="Q172" i="4"/>
  <c r="H177" i="4"/>
  <c r="R177" i="4"/>
  <c r="H194" i="4"/>
  <c r="R194" i="4"/>
  <c r="S197" i="4"/>
  <c r="I197" i="4"/>
  <c r="G203" i="4"/>
  <c r="Q203" i="4"/>
  <c r="S208" i="4"/>
  <c r="J210" i="4"/>
  <c r="T210" i="4"/>
  <c r="S211" i="4"/>
  <c r="S217" i="4"/>
  <c r="I217" i="4"/>
  <c r="G226" i="4"/>
  <c r="Q226" i="4"/>
  <c r="Q78" i="4"/>
  <c r="Q85" i="4"/>
  <c r="G85" i="4"/>
  <c r="I96" i="4"/>
  <c r="S96" i="4"/>
  <c r="K98" i="4"/>
  <c r="V98" i="4" s="1"/>
  <c r="U98" i="4"/>
  <c r="J99" i="4"/>
  <c r="T99" i="4"/>
  <c r="Q101" i="4"/>
  <c r="G101" i="4"/>
  <c r="U110" i="4"/>
  <c r="K110" i="4"/>
  <c r="V110" i="4" s="1"/>
  <c r="S134" i="4"/>
  <c r="I134" i="4"/>
  <c r="Q196" i="4"/>
  <c r="G196" i="4"/>
  <c r="Q200" i="4"/>
  <c r="G200" i="4"/>
  <c r="J211" i="4"/>
  <c r="T211" i="4"/>
  <c r="Q216" i="4"/>
  <c r="G216" i="4"/>
  <c r="T223" i="4"/>
  <c r="I232" i="4"/>
  <c r="S232" i="4"/>
  <c r="S4" i="4"/>
  <c r="K46" i="4"/>
  <c r="V46" i="4" s="1"/>
  <c r="J54" i="4"/>
  <c r="J62" i="4"/>
  <c r="K68" i="4"/>
  <c r="V68" i="4" s="1"/>
  <c r="K76" i="4"/>
  <c r="V76" i="4" s="1"/>
  <c r="G77" i="4"/>
  <c r="K80" i="4"/>
  <c r="V80" i="4" s="1"/>
  <c r="G81" i="4"/>
  <c r="U82" i="4"/>
  <c r="R85" i="4"/>
  <c r="H85" i="4"/>
  <c r="Q86" i="4"/>
  <c r="S89" i="4"/>
  <c r="I89" i="4"/>
  <c r="J96" i="4"/>
  <c r="T96" i="4"/>
  <c r="Q97" i="4"/>
  <c r="R101" i="4"/>
  <c r="H101" i="4"/>
  <c r="T107" i="4"/>
  <c r="J107" i="4"/>
  <c r="I122" i="4"/>
  <c r="S122" i="4"/>
  <c r="J131" i="4"/>
  <c r="T131" i="4"/>
  <c r="J134" i="4"/>
  <c r="T134" i="4"/>
  <c r="T137" i="4"/>
  <c r="J137" i="4"/>
  <c r="G149" i="4"/>
  <c r="Q149" i="4"/>
  <c r="Q160" i="4"/>
  <c r="G160" i="4"/>
  <c r="S185" i="4"/>
  <c r="I185" i="4"/>
  <c r="T185" i="4"/>
  <c r="S206" i="4"/>
  <c r="I206" i="4"/>
  <c r="T218" i="4"/>
  <c r="Q224" i="4"/>
  <c r="G224" i="4"/>
  <c r="T230" i="4"/>
  <c r="T232" i="4"/>
  <c r="J232" i="4"/>
  <c r="S99" i="4"/>
  <c r="I99" i="4"/>
  <c r="T110" i="4"/>
  <c r="J110" i="4"/>
  <c r="T140" i="4"/>
  <c r="J140" i="4"/>
  <c r="K5" i="4"/>
  <c r="V5" i="4" s="1"/>
  <c r="I9" i="4"/>
  <c r="I10" i="4"/>
  <c r="I12" i="4"/>
  <c r="J124" i="4"/>
  <c r="T124" i="4"/>
  <c r="S127" i="4"/>
  <c r="I127" i="4"/>
  <c r="U131" i="4"/>
  <c r="K131" i="4"/>
  <c r="V131" i="4" s="1"/>
  <c r="S146" i="4"/>
  <c r="I146" i="4"/>
  <c r="K8" i="4"/>
  <c r="V8" i="4" s="1"/>
  <c r="I32" i="4"/>
  <c r="K41" i="4"/>
  <c r="V41" i="4" s="1"/>
  <c r="K47" i="4"/>
  <c r="V47" i="4" s="1"/>
  <c r="U53" i="4"/>
  <c r="U61" i="4"/>
  <c r="K69" i="4"/>
  <c r="V69" i="4" s="1"/>
  <c r="I88" i="4"/>
  <c r="S88" i="4"/>
  <c r="J92" i="4"/>
  <c r="T92" i="4"/>
  <c r="S93" i="4"/>
  <c r="K95" i="4"/>
  <c r="V95" i="4" s="1"/>
  <c r="U95" i="4"/>
  <c r="J104" i="4"/>
  <c r="T104" i="4"/>
  <c r="T105" i="4"/>
  <c r="I107" i="4"/>
  <c r="R109" i="4"/>
  <c r="H109" i="4"/>
  <c r="T117" i="4"/>
  <c r="K121" i="4"/>
  <c r="V121" i="4" s="1"/>
  <c r="U121" i="4"/>
  <c r="J127" i="4"/>
  <c r="T127" i="4"/>
  <c r="K142" i="4"/>
  <c r="V142" i="4" s="1"/>
  <c r="U142" i="4"/>
  <c r="I160" i="4"/>
  <c r="S160" i="4"/>
  <c r="H214" i="4"/>
  <c r="R214" i="4"/>
  <c r="S214" i="4"/>
  <c r="Q227" i="4"/>
  <c r="I230" i="4"/>
  <c r="S230" i="4"/>
  <c r="Q123" i="4"/>
  <c r="G123" i="4"/>
  <c r="K13" i="4"/>
  <c r="V13" i="4" s="1"/>
  <c r="G15" i="4"/>
  <c r="G16" i="4"/>
  <c r="G18" i="4"/>
  <c r="G19" i="4"/>
  <c r="H20" i="4"/>
  <c r="G21" i="4"/>
  <c r="G22" i="4"/>
  <c r="U28" i="4"/>
  <c r="I31" i="4"/>
  <c r="K32" i="4"/>
  <c r="V32" i="4" s="1"/>
  <c r="H33" i="4"/>
  <c r="R34" i="4"/>
  <c r="I36" i="4"/>
  <c r="G37" i="4"/>
  <c r="G38" i="4"/>
  <c r="H49" i="4"/>
  <c r="U54" i="4"/>
  <c r="K55" i="4"/>
  <c r="V55" i="4" s="1"/>
  <c r="G57" i="4"/>
  <c r="K63" i="4"/>
  <c r="V63" i="4" s="1"/>
  <c r="G65" i="4"/>
  <c r="H71" i="4"/>
  <c r="K90" i="4"/>
  <c r="V90" i="4" s="1"/>
  <c r="U90" i="4"/>
  <c r="J91" i="4"/>
  <c r="T91" i="4"/>
  <c r="T93" i="4"/>
  <c r="T103" i="4"/>
  <c r="J103" i="4"/>
  <c r="Q106" i="4"/>
  <c r="G106" i="4"/>
  <c r="U117" i="4"/>
  <c r="Q139" i="4"/>
  <c r="G139" i="4"/>
  <c r="U140" i="4"/>
  <c r="R161" i="4"/>
  <c r="R164" i="4"/>
  <c r="H164" i="4"/>
  <c r="J170" i="4"/>
  <c r="T170" i="4"/>
  <c r="T175" i="4"/>
  <c r="J175" i="4"/>
  <c r="T188" i="4"/>
  <c r="J188" i="4"/>
  <c r="S192" i="4"/>
  <c r="T202" i="4"/>
  <c r="H210" i="4"/>
  <c r="R210" i="4"/>
  <c r="G217" i="4"/>
  <c r="Q217" i="4"/>
  <c r="J108" i="4"/>
  <c r="T108" i="4"/>
  <c r="Q144" i="4"/>
  <c r="G144" i="4"/>
  <c r="K30" i="4"/>
  <c r="V30" i="4" s="1"/>
  <c r="J41" i="4"/>
  <c r="U96" i="4"/>
  <c r="K96" i="4"/>
  <c r="V96" i="4" s="1"/>
  <c r="I104" i="4"/>
  <c r="S104" i="4"/>
  <c r="H149" i="4"/>
  <c r="R149" i="4"/>
  <c r="J199" i="4"/>
  <c r="T199" i="4"/>
  <c r="G4" i="4"/>
  <c r="H16" i="4"/>
  <c r="I18" i="4"/>
  <c r="K21" i="4"/>
  <c r="V21" i="4" s="1"/>
  <c r="K33" i="4"/>
  <c r="V33" i="4" s="1"/>
  <c r="S34" i="4"/>
  <c r="H35" i="4"/>
  <c r="H37" i="4"/>
  <c r="G43" i="4"/>
  <c r="H57" i="4"/>
  <c r="H65" i="4"/>
  <c r="G73" i="4"/>
  <c r="S77" i="4"/>
  <c r="I78" i="4"/>
  <c r="H82" i="4"/>
  <c r="S84" i="4"/>
  <c r="I84" i="4"/>
  <c r="U88" i="4"/>
  <c r="K88" i="4"/>
  <c r="V88" i="4" s="1"/>
  <c r="Q89" i="4"/>
  <c r="Q93" i="4"/>
  <c r="G93" i="4"/>
  <c r="K94" i="4"/>
  <c r="V94" i="4" s="1"/>
  <c r="J95" i="4"/>
  <c r="S97" i="4"/>
  <c r="I97" i="4"/>
  <c r="S100" i="4"/>
  <c r="I100" i="4"/>
  <c r="K103" i="4"/>
  <c r="V103" i="4" s="1"/>
  <c r="U103" i="4"/>
  <c r="J111" i="4"/>
  <c r="T111" i="4"/>
  <c r="U119" i="4"/>
  <c r="T122" i="4"/>
  <c r="U124" i="4"/>
  <c r="Q125" i="4"/>
  <c r="R139" i="4"/>
  <c r="H139" i="4"/>
  <c r="S148" i="4"/>
  <c r="I148" i="4"/>
  <c r="J157" i="4"/>
  <c r="T157" i="4"/>
  <c r="G177" i="4"/>
  <c r="Q177" i="4"/>
  <c r="T180" i="4"/>
  <c r="Q184" i="4"/>
  <c r="G184" i="4"/>
  <c r="G194" i="4"/>
  <c r="Q194" i="4"/>
  <c r="S202" i="4"/>
  <c r="H205" i="4"/>
  <c r="R205" i="4"/>
  <c r="S210" i="4"/>
  <c r="I210" i="4"/>
  <c r="H217" i="4"/>
  <c r="R217" i="4"/>
  <c r="H220" i="4"/>
  <c r="R220" i="4"/>
  <c r="R229" i="4"/>
  <c r="I125" i="4"/>
  <c r="U151" i="4"/>
  <c r="U153" i="4"/>
  <c r="H156" i="4"/>
  <c r="R159" i="4"/>
  <c r="J160" i="4"/>
  <c r="R171" i="4"/>
  <c r="R175" i="4"/>
  <c r="T176" i="4"/>
  <c r="R183" i="4"/>
  <c r="H191" i="4"/>
  <c r="U193" i="4"/>
  <c r="I194" i="4"/>
  <c r="S204" i="4"/>
  <c r="U221" i="4"/>
  <c r="T156" i="4"/>
  <c r="T177" i="4"/>
  <c r="R179" i="4"/>
  <c r="H180" i="4"/>
  <c r="T187" i="4"/>
  <c r="Q197" i="4"/>
  <c r="Q199" i="4"/>
  <c r="R209" i="4"/>
  <c r="H211" i="4"/>
  <c r="H215" i="4"/>
  <c r="U229" i="4"/>
  <c r="G233" i="4"/>
  <c r="Q102" i="4"/>
  <c r="U106" i="4"/>
  <c r="G108" i="4"/>
  <c r="G111" i="4"/>
  <c r="H117" i="4"/>
  <c r="H122" i="4"/>
  <c r="H124" i="4"/>
  <c r="S130" i="4"/>
  <c r="Q137" i="4"/>
  <c r="H146" i="4"/>
  <c r="T152" i="4"/>
  <c r="R153" i="4"/>
  <c r="U156" i="4"/>
  <c r="S159" i="4"/>
  <c r="R168" i="4"/>
  <c r="S169" i="4"/>
  <c r="G175" i="4"/>
  <c r="I180" i="4"/>
  <c r="Q182" i="4"/>
  <c r="T184" i="4"/>
  <c r="G192" i="4"/>
  <c r="R193" i="4"/>
  <c r="T194" i="4"/>
  <c r="R201" i="4"/>
  <c r="T205" i="4"/>
  <c r="S212" i="4"/>
  <c r="S216" i="4"/>
  <c r="U225" i="4"/>
  <c r="T226" i="4"/>
  <c r="G229" i="4"/>
  <c r="G232" i="4"/>
  <c r="Q110" i="4"/>
  <c r="U182" i="4"/>
  <c r="Q195" i="4"/>
  <c r="U196" i="4"/>
  <c r="R213" i="4"/>
  <c r="Q219" i="4"/>
  <c r="S228" i="4"/>
  <c r="U166" i="4"/>
  <c r="T174" i="4"/>
  <c r="T186" i="4"/>
  <c r="T191" i="4"/>
  <c r="S196" i="4"/>
  <c r="T219" i="4"/>
  <c r="S223" i="4"/>
  <c r="T231" i="4"/>
  <c r="I42" i="4"/>
  <c r="S42" i="4"/>
  <c r="R62" i="4"/>
  <c r="R64" i="4"/>
  <c r="R68" i="4"/>
  <c r="R72" i="4"/>
  <c r="R74" i="4"/>
  <c r="R76" i="4"/>
  <c r="Q80" i="4"/>
  <c r="G80" i="4"/>
  <c r="Q88" i="4"/>
  <c r="G88" i="4"/>
  <c r="Q92" i="4"/>
  <c r="Q96" i="4"/>
  <c r="G96" i="4"/>
  <c r="J166" i="4"/>
  <c r="T166" i="4"/>
  <c r="G173" i="4"/>
  <c r="Q173" i="4"/>
  <c r="S176" i="4"/>
  <c r="I176" i="4"/>
  <c r="S184" i="4"/>
  <c r="I184" i="4"/>
  <c r="T192" i="4"/>
  <c r="J192" i="4"/>
  <c r="Q28" i="4"/>
  <c r="T42" i="4"/>
  <c r="R102" i="4"/>
  <c r="H102" i="4"/>
  <c r="U129" i="4"/>
  <c r="K129" i="4"/>
  <c r="V129" i="4" s="1"/>
  <c r="S138" i="4"/>
  <c r="I138" i="4"/>
  <c r="K149" i="4"/>
  <c r="V149" i="4" s="1"/>
  <c r="P150" i="4"/>
  <c r="Q156" i="4"/>
  <c r="G156" i="4"/>
  <c r="R165" i="4"/>
  <c r="H165" i="4"/>
  <c r="Q180" i="4"/>
  <c r="P180" i="4"/>
  <c r="U180" i="4" s="1"/>
  <c r="K183" i="4"/>
  <c r="V183" i="4" s="1"/>
  <c r="S201" i="4"/>
  <c r="I201" i="4"/>
  <c r="Q202" i="4"/>
  <c r="G202" i="4"/>
  <c r="P206" i="4"/>
  <c r="U206" i="4" s="1"/>
  <c r="Q206" i="4"/>
  <c r="Q211" i="4"/>
  <c r="P211" i="4"/>
  <c r="U211" i="4" s="1"/>
  <c r="J227" i="4"/>
  <c r="T227" i="4"/>
  <c r="K230" i="4"/>
  <c r="V230" i="4" s="1"/>
  <c r="Q231" i="4"/>
  <c r="P231" i="4"/>
  <c r="U231" i="4" s="1"/>
  <c r="Q5" i="4"/>
  <c r="S6" i="4"/>
  <c r="R9" i="4"/>
  <c r="G10" i="4"/>
  <c r="U12" i="4"/>
  <c r="R14" i="4"/>
  <c r="K18" i="4"/>
  <c r="V18" i="4" s="1"/>
  <c r="K20" i="4"/>
  <c r="V20" i="4" s="1"/>
  <c r="Q24" i="4"/>
  <c r="G25" i="4"/>
  <c r="S26" i="4"/>
  <c r="H29" i="4"/>
  <c r="H31" i="4"/>
  <c r="I35" i="4"/>
  <c r="Q41" i="4"/>
  <c r="J43" i="4"/>
  <c r="J45" i="4"/>
  <c r="J47" i="4"/>
  <c r="J49" i="4"/>
  <c r="J51" i="4"/>
  <c r="J53" i="4"/>
  <c r="J55" i="4"/>
  <c r="J57" i="4"/>
  <c r="J59" i="4"/>
  <c r="J61" i="4"/>
  <c r="J63" i="4"/>
  <c r="J65" i="4"/>
  <c r="J67" i="4"/>
  <c r="J69" i="4"/>
  <c r="J71" i="4"/>
  <c r="J73" i="4"/>
  <c r="J75" i="4"/>
  <c r="I79" i="4"/>
  <c r="U84" i="4"/>
  <c r="I87" i="4"/>
  <c r="U92" i="4"/>
  <c r="I95" i="4"/>
  <c r="U100" i="4"/>
  <c r="S103" i="4"/>
  <c r="H104" i="4"/>
  <c r="U105" i="4"/>
  <c r="I113" i="4"/>
  <c r="H115" i="4"/>
  <c r="K120" i="4"/>
  <c r="V120" i="4" s="1"/>
  <c r="R125" i="4"/>
  <c r="H125" i="4"/>
  <c r="S128" i="4"/>
  <c r="R133" i="4"/>
  <c r="H133" i="4"/>
  <c r="T138" i="4"/>
  <c r="J138" i="4"/>
  <c r="J142" i="4"/>
  <c r="T142" i="4"/>
  <c r="U154" i="4"/>
  <c r="K154" i="4"/>
  <c r="V154" i="4" s="1"/>
  <c r="G155" i="4"/>
  <c r="Q155" i="4"/>
  <c r="T159" i="4"/>
  <c r="Q164" i="4"/>
  <c r="P164" i="4"/>
  <c r="S165" i="4"/>
  <c r="P165" i="4"/>
  <c r="U165" i="4" s="1"/>
  <c r="S170" i="4"/>
  <c r="P173" i="4"/>
  <c r="S173" i="4"/>
  <c r="Q208" i="4"/>
  <c r="G208" i="4"/>
  <c r="T224" i="4"/>
  <c r="J224" i="4"/>
  <c r="R19" i="4"/>
  <c r="R44" i="4"/>
  <c r="R46" i="4"/>
  <c r="R52" i="4"/>
  <c r="R54" i="4"/>
  <c r="R56" i="4"/>
  <c r="R58" i="4"/>
  <c r="U126" i="4"/>
  <c r="K126" i="4"/>
  <c r="V126" i="4" s="1"/>
  <c r="U134" i="4"/>
  <c r="K134" i="4"/>
  <c r="V134" i="4" s="1"/>
  <c r="T145" i="4"/>
  <c r="J145" i="4"/>
  <c r="I41" i="4"/>
  <c r="S41" i="4"/>
  <c r="T153" i="4"/>
  <c r="P161" i="4"/>
  <c r="U161" i="4" s="1"/>
  <c r="Q161" i="4"/>
  <c r="P188" i="4"/>
  <c r="U188" i="4" s="1"/>
  <c r="S188" i="4"/>
  <c r="S190" i="4"/>
  <c r="I190" i="4"/>
  <c r="U191" i="4"/>
  <c r="S191" i="4"/>
  <c r="R208" i="4"/>
  <c r="H208" i="4"/>
  <c r="H15" i="4"/>
  <c r="G17" i="4"/>
  <c r="H21" i="4"/>
  <c r="H23" i="4"/>
  <c r="I27" i="4"/>
  <c r="G34" i="4"/>
  <c r="H36" i="4"/>
  <c r="S37" i="4"/>
  <c r="I38" i="4"/>
  <c r="U39" i="4"/>
  <c r="G44" i="4"/>
  <c r="G46" i="4"/>
  <c r="G48" i="4"/>
  <c r="G50" i="4"/>
  <c r="G52" i="4"/>
  <c r="G54" i="4"/>
  <c r="G56" i="4"/>
  <c r="G58" i="4"/>
  <c r="G60" i="4"/>
  <c r="G62" i="4"/>
  <c r="G64" i="4"/>
  <c r="G66" i="4"/>
  <c r="G68" i="4"/>
  <c r="G70" i="4"/>
  <c r="G72" i="4"/>
  <c r="G74" i="4"/>
  <c r="G76" i="4"/>
  <c r="R81" i="4"/>
  <c r="H81" i="4"/>
  <c r="G82" i="4"/>
  <c r="K83" i="4"/>
  <c r="V83" i="4" s="1"/>
  <c r="R89" i="4"/>
  <c r="H89" i="4"/>
  <c r="G90" i="4"/>
  <c r="K91" i="4"/>
  <c r="V91" i="4" s="1"/>
  <c r="R97" i="4"/>
  <c r="H97" i="4"/>
  <c r="G98" i="4"/>
  <c r="K99" i="4"/>
  <c r="V99" i="4" s="1"/>
  <c r="K104" i="4"/>
  <c r="V104" i="4" s="1"/>
  <c r="H107" i="4"/>
  <c r="S111" i="4"/>
  <c r="R118" i="4"/>
  <c r="H118" i="4"/>
  <c r="I124" i="4"/>
  <c r="S131" i="4"/>
  <c r="H136" i="4"/>
  <c r="R136" i="4"/>
  <c r="G138" i="4"/>
  <c r="S141" i="4"/>
  <c r="R143" i="4"/>
  <c r="H143" i="4"/>
  <c r="H147" i="4"/>
  <c r="I149" i="4"/>
  <c r="Q157" i="4"/>
  <c r="G157" i="4"/>
  <c r="Q158" i="4"/>
  <c r="G158" i="4"/>
  <c r="I167" i="4"/>
  <c r="S167" i="4"/>
  <c r="U169" i="4"/>
  <c r="K169" i="4"/>
  <c r="V169" i="4" s="1"/>
  <c r="I178" i="4"/>
  <c r="S178" i="4"/>
  <c r="R200" i="4"/>
  <c r="Q205" i="4"/>
  <c r="G205" i="4"/>
  <c r="R231" i="4"/>
  <c r="H231" i="4"/>
  <c r="S21" i="4"/>
  <c r="R127" i="4"/>
  <c r="H127" i="4"/>
  <c r="R135" i="4"/>
  <c r="H135" i="4"/>
  <c r="J151" i="4"/>
  <c r="T151" i="4"/>
  <c r="S154" i="4"/>
  <c r="I154" i="4"/>
  <c r="I174" i="4"/>
  <c r="S174" i="4"/>
  <c r="R6" i="4"/>
  <c r="U7" i="4"/>
  <c r="Q9" i="4"/>
  <c r="Q14" i="4"/>
  <c r="S17" i="4"/>
  <c r="U6" i="4"/>
  <c r="S14" i="4"/>
  <c r="Q20" i="4"/>
  <c r="R110" i="4"/>
  <c r="H110" i="4"/>
  <c r="R128" i="4"/>
  <c r="H128" i="4"/>
  <c r="U135" i="4"/>
  <c r="K135" i="4"/>
  <c r="V135" i="4" s="1"/>
  <c r="G136" i="4"/>
  <c r="Q136" i="4"/>
  <c r="R155" i="4"/>
  <c r="P155" i="4"/>
  <c r="U155" i="4" s="1"/>
  <c r="U11" i="4"/>
  <c r="H12" i="4"/>
  <c r="I15" i="4"/>
  <c r="H17" i="4"/>
  <c r="I23" i="4"/>
  <c r="G30" i="4"/>
  <c r="H32" i="4"/>
  <c r="S33" i="4"/>
  <c r="U35" i="4"/>
  <c r="I43" i="4"/>
  <c r="S43" i="4"/>
  <c r="H48" i="4"/>
  <c r="H60" i="4"/>
  <c r="H70" i="4"/>
  <c r="H78" i="4"/>
  <c r="H80" i="4"/>
  <c r="G84" i="4"/>
  <c r="H86" i="4"/>
  <c r="H88" i="4"/>
  <c r="H94" i="4"/>
  <c r="H96" i="4"/>
  <c r="G100" i="4"/>
  <c r="H112" i="4"/>
  <c r="K115" i="4"/>
  <c r="V115" i="4" s="1"/>
  <c r="I121" i="4"/>
  <c r="H123" i="4"/>
  <c r="R126" i="4"/>
  <c r="H126" i="4"/>
  <c r="R134" i="4"/>
  <c r="H134" i="4"/>
  <c r="Q145" i="4"/>
  <c r="I152" i="4"/>
  <c r="S152" i="4"/>
  <c r="P154" i="4"/>
  <c r="Q154" i="4"/>
  <c r="Q162" i="4"/>
  <c r="G166" i="4"/>
  <c r="Q166" i="4"/>
  <c r="T167" i="4"/>
  <c r="Q174" i="4"/>
  <c r="P174" i="4"/>
  <c r="U174" i="4" s="1"/>
  <c r="G181" i="4"/>
  <c r="Q181" i="4"/>
  <c r="R187" i="4"/>
  <c r="H187" i="4"/>
  <c r="J215" i="4"/>
  <c r="T215" i="4"/>
  <c r="Q222" i="4"/>
  <c r="G222" i="4"/>
  <c r="Q228" i="4"/>
  <c r="G228" i="4"/>
  <c r="U127" i="4"/>
  <c r="K127" i="4"/>
  <c r="V127" i="4" s="1"/>
  <c r="R10" i="4"/>
  <c r="I19" i="4"/>
  <c r="G26" i="4"/>
  <c r="S29" i="4"/>
  <c r="U31" i="4"/>
  <c r="Q40" i="4"/>
  <c r="G109" i="4"/>
  <c r="Q109" i="4"/>
  <c r="U113" i="4"/>
  <c r="U128" i="4"/>
  <c r="K128" i="4"/>
  <c r="V128" i="4" s="1"/>
  <c r="S150" i="4"/>
  <c r="I150" i="4"/>
  <c r="R151" i="4"/>
  <c r="H151" i="4"/>
  <c r="R166" i="4"/>
  <c r="H166" i="4"/>
  <c r="P172" i="4"/>
  <c r="U172" i="4" s="1"/>
  <c r="K175" i="4"/>
  <c r="V175" i="4" s="1"/>
  <c r="P177" i="4"/>
  <c r="U177" i="4" s="1"/>
  <c r="S177" i="4"/>
  <c r="R197" i="4"/>
  <c r="P197" i="4"/>
  <c r="U197" i="4" s="1"/>
  <c r="T204" i="4"/>
  <c r="J204" i="4"/>
  <c r="P233" i="4"/>
  <c r="U233" i="4" s="1"/>
  <c r="R233" i="4"/>
  <c r="Q32" i="4"/>
  <c r="J207" i="4"/>
  <c r="T207" i="4"/>
  <c r="H24" i="4"/>
  <c r="S25" i="4"/>
  <c r="U27" i="4"/>
  <c r="Q36" i="4"/>
  <c r="K107" i="4"/>
  <c r="V107" i="4" s="1"/>
  <c r="K112" i="4"/>
  <c r="V112" i="4" s="1"/>
  <c r="S119" i="4"/>
  <c r="R154" i="4"/>
  <c r="H154" i="4"/>
  <c r="Q163" i="4"/>
  <c r="G167" i="4"/>
  <c r="U168" i="4"/>
  <c r="T217" i="4"/>
  <c r="J217" i="4"/>
  <c r="G104" i="4"/>
  <c r="H105" i="4"/>
  <c r="H113" i="4"/>
  <c r="H121" i="4"/>
  <c r="R130" i="4"/>
  <c r="H130" i="4"/>
  <c r="K144" i="4"/>
  <c r="V144" i="4" s="1"/>
  <c r="Q151" i="4"/>
  <c r="G153" i="4"/>
  <c r="I162" i="4"/>
  <c r="Q179" i="4"/>
  <c r="G179" i="4"/>
  <c r="Q189" i="4"/>
  <c r="G189" i="4"/>
  <c r="U198" i="4"/>
  <c r="K198" i="4"/>
  <c r="V198" i="4" s="1"/>
  <c r="P201" i="4"/>
  <c r="U201" i="4" s="1"/>
  <c r="U202" i="4"/>
  <c r="K202" i="4"/>
  <c r="V202" i="4" s="1"/>
  <c r="K206" i="4"/>
  <c r="V206" i="4" s="1"/>
  <c r="T216" i="4"/>
  <c r="J216" i="4"/>
  <c r="T220" i="4"/>
  <c r="J220" i="4"/>
  <c r="S222" i="4"/>
  <c r="I222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H79" i="4"/>
  <c r="Q83" i="4"/>
  <c r="H87" i="4"/>
  <c r="Q91" i="4"/>
  <c r="H95" i="4"/>
  <c r="Q99" i="4"/>
  <c r="H103" i="4"/>
  <c r="Q107" i="4"/>
  <c r="H111" i="4"/>
  <c r="H119" i="4"/>
  <c r="R132" i="4"/>
  <c r="H132" i="4"/>
  <c r="U137" i="4"/>
  <c r="G141" i="4"/>
  <c r="U143" i="4"/>
  <c r="K143" i="4"/>
  <c r="V143" i="4" s="1"/>
  <c r="H148" i="4"/>
  <c r="P149" i="4"/>
  <c r="U149" i="4" s="1"/>
  <c r="Q150" i="4"/>
  <c r="K157" i="4"/>
  <c r="V157" i="4" s="1"/>
  <c r="U157" i="4"/>
  <c r="P162" i="4"/>
  <c r="U162" i="4" s="1"/>
  <c r="K164" i="4"/>
  <c r="V164" i="4" s="1"/>
  <c r="U164" i="4"/>
  <c r="Q183" i="4"/>
  <c r="G183" i="4"/>
  <c r="U192" i="4"/>
  <c r="U204" i="4"/>
  <c r="K204" i="4"/>
  <c r="V204" i="4" s="1"/>
  <c r="H212" i="4"/>
  <c r="S219" i="4"/>
  <c r="I219" i="4"/>
  <c r="S224" i="4"/>
  <c r="P224" i="4"/>
  <c r="U224" i="4" s="1"/>
  <c r="G225" i="4"/>
  <c r="R129" i="4"/>
  <c r="H129" i="4"/>
  <c r="S137" i="4"/>
  <c r="I137" i="4"/>
  <c r="S139" i="4"/>
  <c r="S142" i="4"/>
  <c r="I144" i="4"/>
  <c r="S144" i="4"/>
  <c r="U158" i="4"/>
  <c r="S163" i="4"/>
  <c r="P167" i="4"/>
  <c r="U167" i="4" s="1"/>
  <c r="T179" i="4"/>
  <c r="P184" i="4"/>
  <c r="U184" i="4" s="1"/>
  <c r="T189" i="4"/>
  <c r="J189" i="4"/>
  <c r="U195" i="4"/>
  <c r="K195" i="4"/>
  <c r="V195" i="4" s="1"/>
  <c r="Q214" i="4"/>
  <c r="G214" i="4"/>
  <c r="H84" i="4"/>
  <c r="H92" i="4"/>
  <c r="H100" i="4"/>
  <c r="H108" i="4"/>
  <c r="H116" i="4"/>
  <c r="R131" i="4"/>
  <c r="H131" i="4"/>
  <c r="R152" i="4"/>
  <c r="H152" i="4"/>
  <c r="U159" i="4"/>
  <c r="K159" i="4"/>
  <c r="V159" i="4" s="1"/>
  <c r="T161" i="4"/>
  <c r="J161" i="4"/>
  <c r="U163" i="4"/>
  <c r="K163" i="4"/>
  <c r="V163" i="4" s="1"/>
  <c r="P169" i="4"/>
  <c r="U171" i="4"/>
  <c r="T172" i="4"/>
  <c r="J179" i="4"/>
  <c r="H206" i="4"/>
  <c r="R206" i="4"/>
  <c r="Q220" i="4"/>
  <c r="G220" i="4"/>
  <c r="U227" i="4"/>
  <c r="K227" i="4"/>
  <c r="V227" i="4" s="1"/>
  <c r="S153" i="4"/>
  <c r="U173" i="4"/>
  <c r="Q178" i="4"/>
  <c r="P178" i="4"/>
  <c r="U178" i="4" s="1"/>
  <c r="R182" i="4"/>
  <c r="H182" i="4"/>
  <c r="H190" i="4"/>
  <c r="R190" i="4"/>
  <c r="R196" i="4"/>
  <c r="H196" i="4"/>
  <c r="H202" i="4"/>
  <c r="R202" i="4"/>
  <c r="U203" i="4"/>
  <c r="K203" i="4"/>
  <c r="V203" i="4" s="1"/>
  <c r="U215" i="4"/>
  <c r="T221" i="4"/>
  <c r="Q152" i="4"/>
  <c r="S161" i="4"/>
  <c r="R163" i="4"/>
  <c r="T169" i="4"/>
  <c r="P170" i="4"/>
  <c r="U170" i="4" s="1"/>
  <c r="P171" i="4"/>
  <c r="H181" i="4"/>
  <c r="R181" i="4"/>
  <c r="J182" i="4"/>
  <c r="T182" i="4"/>
  <c r="P204" i="4"/>
  <c r="R207" i="4"/>
  <c r="H207" i="4"/>
  <c r="K218" i="4"/>
  <c r="V218" i="4" s="1"/>
  <c r="P219" i="4"/>
  <c r="U219" i="4" s="1"/>
  <c r="G221" i="4"/>
  <c r="P223" i="4"/>
  <c r="U223" i="4" s="1"/>
  <c r="J149" i="4"/>
  <c r="U150" i="4"/>
  <c r="I153" i="4"/>
  <c r="K162" i="4"/>
  <c r="V162" i="4" s="1"/>
  <c r="H167" i="4"/>
  <c r="R167" i="4"/>
  <c r="H169" i="4"/>
  <c r="T213" i="4"/>
  <c r="J213" i="4"/>
  <c r="R219" i="4"/>
  <c r="H222" i="4"/>
  <c r="R222" i="4"/>
  <c r="I229" i="4"/>
  <c r="P175" i="4"/>
  <c r="U175" i="4" s="1"/>
  <c r="T183" i="4"/>
  <c r="U185" i="4"/>
  <c r="Q185" i="4"/>
  <c r="P187" i="4"/>
  <c r="U187" i="4" s="1"/>
  <c r="Q188" i="4"/>
  <c r="G188" i="4"/>
  <c r="S198" i="4"/>
  <c r="U212" i="4"/>
  <c r="K212" i="4"/>
  <c r="V212" i="4" s="1"/>
  <c r="P213" i="4"/>
  <c r="U213" i="4" s="1"/>
  <c r="R228" i="4"/>
  <c r="H228" i="4"/>
  <c r="T165" i="4"/>
  <c r="R174" i="4"/>
  <c r="U179" i="4"/>
  <c r="J183" i="4"/>
  <c r="K185" i="4"/>
  <c r="V185" i="4" s="1"/>
  <c r="S187" i="4"/>
  <c r="I187" i="4"/>
  <c r="S193" i="4"/>
  <c r="I193" i="4"/>
  <c r="S195" i="4"/>
  <c r="I195" i="4"/>
  <c r="R199" i="4"/>
  <c r="H199" i="4"/>
  <c r="T201" i="4"/>
  <c r="J201" i="4"/>
  <c r="R204" i="4"/>
  <c r="T233" i="4"/>
  <c r="J233" i="4"/>
  <c r="J234" i="4" s="1"/>
  <c r="S181" i="4"/>
  <c r="P183" i="4"/>
  <c r="U183" i="4" s="1"/>
  <c r="T195" i="4"/>
  <c r="P199" i="4"/>
  <c r="U199" i="4" s="1"/>
  <c r="U200" i="4"/>
  <c r="P202" i="4"/>
  <c r="S213" i="4"/>
  <c r="I213" i="4"/>
  <c r="Q213" i="4"/>
  <c r="P216" i="4"/>
  <c r="U216" i="4" s="1"/>
  <c r="S225" i="4"/>
  <c r="I225" i="4"/>
  <c r="S227" i="4"/>
  <c r="I227" i="4"/>
  <c r="I186" i="4"/>
  <c r="R186" i="4"/>
  <c r="H192" i="4"/>
  <c r="H195" i="4"/>
  <c r="J197" i="4"/>
  <c r="G198" i="4"/>
  <c r="K200" i="4"/>
  <c r="V200" i="4" s="1"/>
  <c r="G201" i="4"/>
  <c r="T203" i="4"/>
  <c r="G204" i="4"/>
  <c r="P207" i="4"/>
  <c r="U207" i="4" s="1"/>
  <c r="I209" i="4"/>
  <c r="U210" i="4"/>
  <c r="P214" i="4"/>
  <c r="U214" i="4" s="1"/>
  <c r="I215" i="4"/>
  <c r="H227" i="4"/>
  <c r="I189" i="4"/>
  <c r="U190" i="4"/>
  <c r="P194" i="4"/>
  <c r="R198" i="4"/>
  <c r="H204" i="4"/>
  <c r="T208" i="4"/>
  <c r="J209" i="4"/>
  <c r="G210" i="4"/>
  <c r="U222" i="4"/>
  <c r="P226" i="4"/>
  <c r="P186" i="4"/>
  <c r="U186" i="4" s="1"/>
  <c r="P218" i="4"/>
  <c r="U218" i="4" s="1"/>
  <c r="U194" i="4"/>
  <c r="P198" i="4"/>
  <c r="I199" i="4"/>
  <c r="T212" i="4"/>
  <c r="U226" i="4"/>
  <c r="P230" i="4"/>
  <c r="U230" i="4" s="1"/>
  <c r="I231" i="4"/>
  <c r="M51" i="2"/>
  <c r="M27" i="2"/>
  <c r="J31" i="2"/>
  <c r="H32" i="2"/>
  <c r="K34" i="2"/>
  <c r="O35" i="2"/>
  <c r="O47" i="2"/>
  <c r="H36" i="2"/>
  <c r="M37" i="2"/>
  <c r="L38" i="2"/>
  <c r="K40" i="2"/>
  <c r="J42" i="2"/>
  <c r="O43" i="2"/>
  <c r="O55" i="2"/>
  <c r="O46" i="2"/>
  <c r="H49" i="2"/>
  <c r="L51" i="2"/>
  <c r="K53" i="2"/>
  <c r="N56" i="2"/>
  <c r="O58" i="2"/>
  <c r="K64" i="2"/>
  <c r="K67" i="2"/>
  <c r="K75" i="2"/>
  <c r="K83" i="2"/>
  <c r="M123" i="2"/>
  <c r="N131" i="2"/>
  <c r="M84" i="2"/>
  <c r="K103" i="2"/>
  <c r="H25" i="2"/>
  <c r="K26" i="2"/>
  <c r="H27" i="2"/>
  <c r="J36" i="2"/>
  <c r="L43" i="2"/>
  <c r="K45" i="2"/>
  <c r="K47" i="2"/>
  <c r="H52" i="2"/>
  <c r="N54" i="2"/>
  <c r="O70" i="2"/>
  <c r="N76" i="2"/>
  <c r="O78" i="2"/>
  <c r="N84" i="2"/>
  <c r="O86" i="2"/>
  <c r="N92" i="2"/>
  <c r="O106" i="2"/>
  <c r="O94" i="2"/>
  <c r="L107" i="2"/>
  <c r="K134" i="2"/>
  <c r="L154" i="2"/>
  <c r="L142" i="2"/>
  <c r="M143" i="2"/>
  <c r="K36" i="2"/>
  <c r="H85" i="2"/>
  <c r="N154" i="2"/>
  <c r="N166" i="2"/>
  <c r="O27" i="2"/>
  <c r="O39" i="2"/>
  <c r="M29" i="2"/>
  <c r="O30" i="2"/>
  <c r="L32" i="2"/>
  <c r="O38" i="2"/>
  <c r="H41" i="2"/>
  <c r="M43" i="2"/>
  <c r="K48" i="2"/>
  <c r="N65" i="2"/>
  <c r="M100" i="2"/>
  <c r="N123" i="2"/>
  <c r="N164" i="2"/>
  <c r="N152" i="2"/>
  <c r="N200" i="2"/>
  <c r="N212" i="2"/>
  <c r="L34" i="2"/>
  <c r="L67" i="2"/>
  <c r="J26" i="2"/>
  <c r="M21" i="2"/>
  <c r="O29" i="2"/>
  <c r="H40" i="2"/>
  <c r="M46" i="2"/>
  <c r="L48" i="2"/>
  <c r="O51" i="2"/>
  <c r="O63" i="2"/>
  <c r="M59" i="2"/>
  <c r="N100" i="2"/>
  <c r="M92" i="2"/>
  <c r="H140" i="2"/>
  <c r="H128" i="2"/>
  <c r="O21" i="2"/>
  <c r="L29" i="2"/>
  <c r="H31" i="2"/>
  <c r="L33" i="2"/>
  <c r="M36" i="2"/>
  <c r="K37" i="2"/>
  <c r="J39" i="2"/>
  <c r="H44" i="2"/>
  <c r="K61" i="2"/>
  <c r="M64" i="2"/>
  <c r="O98" i="2"/>
  <c r="O110" i="2"/>
  <c r="J113" i="2"/>
  <c r="N151" i="2"/>
  <c r="N139" i="2"/>
  <c r="K146" i="2"/>
  <c r="H148" i="2"/>
  <c r="K31" i="2"/>
  <c r="H23" i="2"/>
  <c r="K30" i="2"/>
  <c r="J34" i="2"/>
  <c r="L37" i="2"/>
  <c r="K39" i="2"/>
  <c r="J40" i="2"/>
  <c r="J53" i="2"/>
  <c r="O66" i="2"/>
  <c r="O74" i="2"/>
  <c r="O82" i="2"/>
  <c r="O90" i="2"/>
  <c r="O102" i="2"/>
  <c r="H105" i="2"/>
  <c r="M131" i="2"/>
  <c r="O32" i="2"/>
  <c r="O40" i="2"/>
  <c r="L100" i="2"/>
  <c r="J107" i="2"/>
  <c r="H109" i="2"/>
  <c r="N110" i="2"/>
  <c r="L111" i="2"/>
  <c r="H115" i="2"/>
  <c r="M117" i="2"/>
  <c r="K120" i="2"/>
  <c r="H124" i="2"/>
  <c r="N143" i="2"/>
  <c r="O145" i="2"/>
  <c r="K90" i="2"/>
  <c r="O92" i="2"/>
  <c r="K94" i="2"/>
  <c r="H102" i="2"/>
  <c r="L103" i="2"/>
  <c r="J104" i="2"/>
  <c r="O105" i="2"/>
  <c r="H106" i="2"/>
  <c r="L108" i="2"/>
  <c r="M109" i="2"/>
  <c r="H111" i="2"/>
  <c r="L113" i="2"/>
  <c r="O117" i="2"/>
  <c r="M121" i="2"/>
  <c r="K124" i="2"/>
  <c r="L126" i="2"/>
  <c r="O149" i="2"/>
  <c r="O161" i="2"/>
  <c r="H156" i="2"/>
  <c r="N168" i="2"/>
  <c r="N180" i="2"/>
  <c r="M172" i="2"/>
  <c r="O198" i="2"/>
  <c r="M220" i="2"/>
  <c r="H56" i="2"/>
  <c r="H64" i="2"/>
  <c r="L98" i="2"/>
  <c r="M108" i="2"/>
  <c r="K109" i="2"/>
  <c r="J110" i="2"/>
  <c r="J117" i="2"/>
  <c r="O129" i="2"/>
  <c r="J149" i="2"/>
  <c r="O157" i="2"/>
  <c r="J158" i="2"/>
  <c r="J190" i="2"/>
  <c r="H205" i="2"/>
  <c r="M232" i="2"/>
  <c r="L104" i="2"/>
  <c r="H107" i="2"/>
  <c r="N108" i="2"/>
  <c r="M114" i="2"/>
  <c r="K116" i="2"/>
  <c r="L118" i="2"/>
  <c r="H122" i="2"/>
  <c r="O141" i="2"/>
  <c r="O153" i="2"/>
  <c r="J157" i="2"/>
  <c r="J202" i="2"/>
  <c r="K203" i="2"/>
  <c r="N232" i="2"/>
  <c r="N101" i="2"/>
  <c r="J102" i="2"/>
  <c r="H103" i="2"/>
  <c r="M104" i="2"/>
  <c r="K105" i="2"/>
  <c r="J106" i="2"/>
  <c r="O107" i="2"/>
  <c r="J111" i="2"/>
  <c r="H113" i="2"/>
  <c r="O121" i="2"/>
  <c r="M125" i="2"/>
  <c r="K167" i="2"/>
  <c r="H177" i="2"/>
  <c r="L195" i="2"/>
  <c r="H101" i="2"/>
  <c r="N104" i="2"/>
  <c r="L105" i="2"/>
  <c r="N109" i="2"/>
  <c r="M110" i="2"/>
  <c r="K111" i="2"/>
  <c r="J112" i="2"/>
  <c r="O113" i="2"/>
  <c r="H114" i="2"/>
  <c r="O123" i="2"/>
  <c r="O133" i="2"/>
  <c r="L150" i="2"/>
  <c r="L162" i="2"/>
  <c r="L175" i="2"/>
  <c r="L163" i="2"/>
  <c r="J165" i="2"/>
  <c r="M188" i="2"/>
  <c r="M200" i="2"/>
  <c r="K215" i="2"/>
  <c r="O230" i="2"/>
  <c r="H129" i="2"/>
  <c r="H133" i="2"/>
  <c r="H137" i="2"/>
  <c r="J138" i="2"/>
  <c r="L139" i="2"/>
  <c r="L147" i="2"/>
  <c r="K150" i="2"/>
  <c r="H151" i="2"/>
  <c r="L152" i="2"/>
  <c r="J155" i="2"/>
  <c r="K157" i="2"/>
  <c r="O158" i="2"/>
  <c r="K160" i="2"/>
  <c r="M162" i="2"/>
  <c r="H167" i="2"/>
  <c r="J172" i="2"/>
  <c r="N174" i="2"/>
  <c r="O178" i="2"/>
  <c r="L181" i="2"/>
  <c r="N187" i="2"/>
  <c r="O210" i="2"/>
  <c r="O139" i="2"/>
  <c r="O143" i="2"/>
  <c r="O147" i="2"/>
  <c r="L153" i="2"/>
  <c r="O154" i="2"/>
  <c r="M155" i="2"/>
  <c r="O156" i="2"/>
  <c r="N157" i="2"/>
  <c r="K158" i="2"/>
  <c r="N158" i="2"/>
  <c r="K161" i="2"/>
  <c r="O162" i="2"/>
  <c r="M166" i="2"/>
  <c r="L177" i="2"/>
  <c r="N182" i="2"/>
  <c r="N183" i="2"/>
  <c r="J185" i="2"/>
  <c r="O206" i="2"/>
  <c r="M153" i="2"/>
  <c r="J159" i="2"/>
  <c r="K159" i="2"/>
  <c r="O168" i="2"/>
  <c r="L173" i="2"/>
  <c r="L178" i="2"/>
  <c r="J180" i="2"/>
  <c r="M180" i="2"/>
  <c r="H181" i="2"/>
  <c r="O194" i="2"/>
  <c r="H213" i="2"/>
  <c r="O226" i="2"/>
  <c r="M149" i="2"/>
  <c r="N149" i="2"/>
  <c r="O150" i="2"/>
  <c r="M151" i="2"/>
  <c r="O152" i="2"/>
  <c r="N153" i="2"/>
  <c r="K156" i="2"/>
  <c r="M156" i="2"/>
  <c r="M158" i="2"/>
  <c r="M161" i="2"/>
  <c r="K175" i="2"/>
  <c r="O182" i="2"/>
  <c r="O214" i="2"/>
  <c r="J226" i="2"/>
  <c r="H146" i="2"/>
  <c r="K154" i="2"/>
  <c r="L156" i="2"/>
  <c r="O160" i="2"/>
  <c r="N161" i="2"/>
  <c r="K165" i="2"/>
  <c r="O166" i="2"/>
  <c r="N178" i="2"/>
  <c r="N179" i="2"/>
  <c r="J181" i="2"/>
  <c r="L186" i="2"/>
  <c r="K195" i="2"/>
  <c r="O202" i="2"/>
  <c r="L207" i="2"/>
  <c r="K227" i="2"/>
  <c r="O234" i="2"/>
  <c r="K152" i="2"/>
  <c r="M159" i="2"/>
  <c r="J176" i="2"/>
  <c r="O190" i="2"/>
  <c r="O222" i="2"/>
  <c r="H150" i="2"/>
  <c r="H154" i="2"/>
  <c r="O204" i="2"/>
  <c r="O208" i="2"/>
  <c r="O212" i="2"/>
  <c r="D232" i="1"/>
  <c r="D224" i="1"/>
  <c r="D212" i="1"/>
  <c r="D200" i="1"/>
  <c r="D192" i="1"/>
  <c r="D180" i="1"/>
  <c r="D227" i="1"/>
  <c r="D223" i="1"/>
  <c r="D219" i="1"/>
  <c r="D215" i="1"/>
  <c r="D211" i="1"/>
  <c r="D207" i="1"/>
  <c r="D203" i="1"/>
  <c r="D199" i="1"/>
  <c r="D195" i="1"/>
  <c r="D191" i="1"/>
  <c r="D187" i="1"/>
  <c r="D183" i="1"/>
  <c r="D179" i="1"/>
  <c r="D175" i="1"/>
  <c r="D228" i="1"/>
  <c r="D220" i="1"/>
  <c r="D216" i="1"/>
  <c r="D208" i="1"/>
  <c r="D204" i="1"/>
  <c r="D196" i="1"/>
  <c r="D188" i="1"/>
  <c r="D184" i="1"/>
  <c r="D176" i="1"/>
  <c r="D231" i="1"/>
  <c r="D230" i="1"/>
  <c r="D226" i="1"/>
  <c r="D222" i="1"/>
  <c r="D218" i="1"/>
  <c r="D214" i="1"/>
  <c r="D210" i="1"/>
  <c r="D206" i="1"/>
  <c r="D202" i="1"/>
  <c r="D198" i="1"/>
  <c r="D194" i="1"/>
  <c r="D190" i="1"/>
  <c r="D186" i="1"/>
  <c r="D182" i="1"/>
  <c r="D178" i="1"/>
  <c r="G234" i="4" l="1"/>
</calcChain>
</file>

<file path=xl/comments1.xml><?xml version="1.0" encoding="utf-8"?>
<comments xmlns="http://schemas.openxmlformats.org/spreadsheetml/2006/main">
  <authors>
    <author>Meneses Gonzalez Maria Fernanda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Mery o puede sacarse también del archivo sistema financiero</t>
        </r>
      </text>
    </comment>
  </commentList>
</comments>
</file>

<file path=xl/comments2.xml><?xml version="1.0" encoding="utf-8"?>
<comments xmlns="http://schemas.openxmlformats.org/spreadsheetml/2006/main">
  <authors>
    <author>Mariño Montaña Juan Sebastián</author>
    <author>Pirateque Niño Javier Eliecer</author>
  </authors>
  <commentList>
    <comment ref="B4" authorId="0" shapeId="0">
      <text>
        <r>
          <rPr>
            <sz val="9"/>
            <color indexed="81"/>
            <rFont val="Tahoma"/>
            <family val="2"/>
          </rPr>
          <t>Las carteras se sacan del archivo de sistema financiero New</t>
        </r>
      </text>
    </comment>
    <comment ref="E4" authorId="1" shapeId="0">
      <text>
        <r>
          <rPr>
            <sz val="9"/>
            <color indexed="81"/>
            <rFont val="Tahoma"/>
            <family val="2"/>
          </rPr>
          <t xml:space="preserve">Titularizaciones empiezan desde abril del 2002. La información se descarga de la página de la titularizadora de colombia → Emisiones → Histórico cartera titularizada → Xls, Saldo total cartera titularizada. </t>
        </r>
      </text>
    </comment>
  </commentList>
</comments>
</file>

<file path=xl/comments3.xml><?xml version="1.0" encoding="utf-8"?>
<comments xmlns="http://schemas.openxmlformats.org/spreadsheetml/2006/main">
  <authors>
    <author>Pirateque Niño Javier Eliecer</author>
  </authors>
  <commentList>
    <comment ref="F3" authorId="0" shapeId="0">
      <text>
        <r>
          <rPr>
            <b/>
            <sz val="9"/>
            <color indexed="81"/>
            <rFont val="Tahoma"/>
            <family val="2"/>
          </rPr>
          <t>Pirateque Niño Javier Eliecer:</t>
        </r>
        <r>
          <rPr>
            <sz val="9"/>
            <color indexed="81"/>
            <rFont val="Tahoma"/>
            <family val="2"/>
          </rPr>
          <t xml:space="preserve">
Numerador y denominador solo incluyen leasing financiero (no incluye leasing operativo)</t>
        </r>
      </text>
    </comment>
  </commentList>
</comments>
</file>

<file path=xl/comments4.xml><?xml version="1.0" encoding="utf-8"?>
<comments xmlns="http://schemas.openxmlformats.org/spreadsheetml/2006/main">
  <authors>
    <author>Mariño Montaña Juan Sebastián</author>
    <author>Gamba Santamaría Santiago</author>
  </authors>
  <commentList>
    <comment ref="L2" authorId="0" shapeId="0">
      <text>
        <r>
          <rPr>
            <b/>
            <sz val="9"/>
            <color indexed="81"/>
            <rFont val="Tahoma"/>
            <family val="2"/>
          </rPr>
          <t>Mariño Montaña Juan Sebastián:</t>
        </r>
        <r>
          <rPr>
            <sz val="9"/>
            <color indexed="81"/>
            <rFont val="Tahoma"/>
            <family val="2"/>
          </rPr>
          <t xml:space="preserve">
Se utilizan las cuentas de homologación mery H771 H772 H773 H774</t>
        </r>
      </text>
    </comment>
    <comment ref="I3" authorId="1" shapeId="0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5.xml><?xml version="1.0" encoding="utf-8"?>
<comments xmlns="http://schemas.openxmlformats.org/spreadsheetml/2006/main">
  <authors>
    <author>Meneses Gonzalez Maria Fernanda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Todo se sacó de Sistema Financiero New</t>
        </r>
      </text>
    </comment>
  </commentList>
</comments>
</file>

<file path=xl/comments6.xml><?xml version="1.0" encoding="utf-8"?>
<comments xmlns="http://schemas.openxmlformats.org/spreadsheetml/2006/main">
  <authors>
    <author>Meneses Gonzalez Maria Fernanda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Todo se sacó de Sistema Financiero New</t>
        </r>
      </text>
    </comment>
  </commentList>
</comments>
</file>

<file path=xl/sharedStrings.xml><?xml version="1.0" encoding="utf-8"?>
<sst xmlns="http://schemas.openxmlformats.org/spreadsheetml/2006/main" count="170" uniqueCount="108">
  <si>
    <t>Fuente: Superintendencia Financiera de Colombia; cálculos del Banco de la República.</t>
  </si>
  <si>
    <t>Crecimiento real anual (eje derecho)</t>
  </si>
  <si>
    <t>Nivel real</t>
  </si>
  <si>
    <t>TOTAL ACTIVO (b)</t>
  </si>
  <si>
    <t>0335</t>
  </si>
  <si>
    <t>0140</t>
  </si>
  <si>
    <t>0155</t>
  </si>
  <si>
    <t>FECHA</t>
  </si>
  <si>
    <r>
      <t xml:space="preserve">CARTERA BRUTA </t>
    </r>
    <r>
      <rPr>
        <b/>
        <u/>
        <sz val="10"/>
        <rFont val="ZapfHumnst BT"/>
        <family val="2"/>
      </rPr>
      <t>REAL</t>
    </r>
    <r>
      <rPr>
        <b/>
        <sz val="10"/>
        <rFont val="ZapfHumnst BT"/>
        <family val="2"/>
      </rPr>
      <t xml:space="preserve"> - BILLONES DE PESOS</t>
    </r>
  </si>
  <si>
    <t>Crecimiento real anual (porcentaje)</t>
  </si>
  <si>
    <t>Comercial</t>
  </si>
  <si>
    <t>Consumo</t>
  </si>
  <si>
    <t>Vivienda</t>
  </si>
  <si>
    <t>Vivienda con titularizaciones</t>
  </si>
  <si>
    <t>Microcrédito</t>
  </si>
  <si>
    <t>Total sin titularizaciones</t>
  </si>
  <si>
    <t>Crecimiento sin titular.</t>
  </si>
  <si>
    <t>Total con titularizaciones</t>
  </si>
  <si>
    <t>Vivienda sin tit.</t>
  </si>
  <si>
    <t>Comentario: la serie de leasing no refleja la inclusión de leasing financiero en 2004. Salto injustificado en junio de 1999</t>
  </si>
  <si>
    <t>La serie total está sumando la de leasing, que tiene errores</t>
  </si>
  <si>
    <t>Para el la serie de la cartera total corregida se toma la de sistema finaciero.xls, la cual solo incluye el leasing financiero (que existe desde enero de 2004)</t>
  </si>
  <si>
    <t>* Sin titularizaciones</t>
  </si>
  <si>
    <t>Calidad de cartera - ICR</t>
  </si>
  <si>
    <t>Total</t>
  </si>
  <si>
    <t>9824</t>
  </si>
  <si>
    <t>9822</t>
  </si>
  <si>
    <t>9826</t>
  </si>
  <si>
    <t>9823</t>
  </si>
  <si>
    <t>(8-1-20-10) CARTERA DE CREDITOS</t>
  </si>
  <si>
    <t>(8-1-20-11) CARTERA DE CREDITOS DE CONSUMO</t>
  </si>
  <si>
    <t>(8-1-20-12) CARTERA DE CREDITOS DE VIVIENDA</t>
  </si>
  <si>
    <t>(8-1-20-13) CARTERA DE CREDITOS MICROCREDITO</t>
  </si>
  <si>
    <t>Cartera Vencida (Real) - Cifras a diciembre 2016</t>
  </si>
  <si>
    <t>Indicador de mora: Cartera vencida/cartera bruta</t>
  </si>
  <si>
    <t>Castigos (Real) - Cifras a febrero de 2017</t>
  </si>
  <si>
    <t>Indicador de mora: Cartera vencida + castigos /cartera bruta + castigos</t>
  </si>
  <si>
    <t xml:space="preserve">Total </t>
  </si>
  <si>
    <t xml:space="preserve">Comercial </t>
  </si>
  <si>
    <t xml:space="preserve">Consumo </t>
  </si>
  <si>
    <t xml:space="preserve">Microcrédito </t>
  </si>
  <si>
    <r>
      <t xml:space="preserve">Total con </t>
    </r>
    <r>
      <rPr>
        <b/>
        <i/>
        <sz val="10"/>
        <rFont val="ZapfHumnst BT"/>
        <family val="2"/>
      </rPr>
      <t xml:space="preserve">leasing </t>
    </r>
    <r>
      <rPr>
        <b/>
        <sz val="10"/>
        <rFont val="ZapfHumnst BT"/>
        <family val="2"/>
      </rPr>
      <t>financiero</t>
    </r>
  </si>
  <si>
    <t>0760</t>
  </si>
  <si>
    <t>0550</t>
  </si>
  <si>
    <t>* Cifras a diciembre de 2016</t>
  </si>
  <si>
    <t>Utilidad nominal</t>
  </si>
  <si>
    <t>Activo nominal</t>
  </si>
  <si>
    <t>Patrimonio nominal</t>
  </si>
  <si>
    <t>Activo Promedio del año</t>
  </si>
  <si>
    <t>Patrimonio Promedio</t>
  </si>
  <si>
    <t>ROA</t>
  </si>
  <si>
    <t>ROE</t>
  </si>
  <si>
    <t>ROA Promedio 5 años</t>
  </si>
  <si>
    <t>ROE Promedio 5 años</t>
  </si>
  <si>
    <t>Activos de las instituciones financieras no bancarias (IFNB)</t>
  </si>
  <si>
    <t>Crecimiento real anual</t>
  </si>
  <si>
    <t>Billones de pesos</t>
  </si>
  <si>
    <t>Porcentaje de los activos del sistema financiero</t>
  </si>
  <si>
    <t>Posición propia</t>
  </si>
  <si>
    <t xml:space="preserve">   Administradoras de fondos de pensiones y cesantías (AFP)</t>
  </si>
  <si>
    <t xml:space="preserve">   Sociedades fiduciarias (SFD)</t>
  </si>
  <si>
    <t xml:space="preserve">   Sociedades comisionistas de bolsa (SCB)</t>
  </si>
  <si>
    <t xml:space="preserve">   Compañías de seguros</t>
  </si>
  <si>
    <t>Portafolio administrado</t>
  </si>
  <si>
    <t xml:space="preserve">   AFP - pensiones obligatorias</t>
  </si>
  <si>
    <t xml:space="preserve">   AFP - pensiones voluntarias</t>
  </si>
  <si>
    <t xml:space="preserve">   AFP - cesantías</t>
  </si>
  <si>
    <t xml:space="preserve">   SFD</t>
  </si>
  <si>
    <t xml:space="preserve">   SCB</t>
  </si>
  <si>
    <t>Total IFNB</t>
  </si>
  <si>
    <t>Fecha</t>
  </si>
  <si>
    <t>SCB (eje derecho)</t>
  </si>
  <si>
    <t>SFD</t>
  </si>
  <si>
    <t>AFP</t>
  </si>
  <si>
    <r>
      <rPr>
        <b/>
        <sz val="9"/>
        <color theme="1"/>
        <rFont val="Times New Roman"/>
        <family val="1"/>
      </rPr>
      <t xml:space="preserve">Fuente: </t>
    </r>
    <r>
      <rPr>
        <sz val="9"/>
        <color theme="1"/>
        <rFont val="Times New Roman"/>
        <family val="1"/>
      </rPr>
      <t>Superintendencia Financiera de Colombia; cálculos del Banco de la República.</t>
    </r>
  </si>
  <si>
    <t>Seguros generales</t>
  </si>
  <si>
    <t>Seguros de vida</t>
  </si>
  <si>
    <t>Activo de los EC</t>
  </si>
  <si>
    <t>Gráfico 2.1</t>
  </si>
  <si>
    <t xml:space="preserve"> </t>
  </si>
  <si>
    <t>Tasa de crecimiento real anual de las modalidades de cartera</t>
  </si>
  <si>
    <t>Gráfico 2.2</t>
  </si>
  <si>
    <t>Cambio en las exigencias, Gráfico 9 de la encuesta de crédito</t>
  </si>
  <si>
    <t>Cambio en la demanda de crédito, Gráfico 1 de la encuesta de crédito</t>
  </si>
  <si>
    <t>Saldo de cartera</t>
  </si>
  <si>
    <t>Cambio en las exigencias de otorgamiento</t>
  </si>
  <si>
    <t>Cambio en la demanda de crédito</t>
  </si>
  <si>
    <t>Gráfico 2.3</t>
  </si>
  <si>
    <t xml:space="preserve">Cambio en la percepción de oferta y demanda de crédito </t>
  </si>
  <si>
    <r>
      <rPr>
        <b/>
        <sz val="11"/>
        <color theme="1"/>
        <rFont val="Times New Roman"/>
        <family val="1"/>
      </rPr>
      <t xml:space="preserve">Fuente: </t>
    </r>
    <r>
      <rPr>
        <i/>
        <sz val="11"/>
        <color theme="1"/>
        <rFont val="Times New Roman"/>
        <family val="1"/>
      </rPr>
      <t>Reporte de la situación del crédito en Colombia</t>
    </r>
    <r>
      <rPr>
        <sz val="11"/>
        <color theme="1"/>
        <rFont val="Times New Roman"/>
        <family val="1"/>
      </rPr>
      <t>; cálculos del Banco de la República.</t>
    </r>
  </si>
  <si>
    <t>A. Indicador de calidad por riesgo (ICR)</t>
  </si>
  <si>
    <t>Gráfico 2.4</t>
  </si>
  <si>
    <t>B. Indicador de calidad por mora (ICM)</t>
  </si>
  <si>
    <t>Gráfico 2.5</t>
  </si>
  <si>
    <t>ROA promedio cinco años</t>
  </si>
  <si>
    <t>Rentabilidad de los EC</t>
  </si>
  <si>
    <t>A. ROA</t>
  </si>
  <si>
    <t>B. ROE</t>
  </si>
  <si>
    <t>ROE promedio cinco años</t>
  </si>
  <si>
    <t>Cuadro 2.1</t>
  </si>
  <si>
    <t>Activo en posición propia y administrada de las IFNB</t>
  </si>
  <si>
    <t>Total sistema financiero</t>
  </si>
  <si>
    <t>Nota: datos expresados en pesos de enero de 2018.</t>
  </si>
  <si>
    <t>Fuente: Superintendencia Financiera de Colombia); cálculos Banco de la República.</t>
  </si>
  <si>
    <t>ROA de las IFNB</t>
  </si>
  <si>
    <t>Gráfico 2.6</t>
  </si>
  <si>
    <t>A. Sociedades fiduciarias, administradoras de fondos de pensiones y sociedades comisionistas de bolsa</t>
  </si>
  <si>
    <t>B. Compañías de seguros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</si>
</sst>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#,##0.0"/>
    <numFmt numFmtId="167" formatCode="0.000%"/>
    <numFmt numFmtId="168" formatCode="0.0%"/>
    <numFmt numFmtId="169" formatCode="0.000"/>
  </numFmts>
  <fonts count="38" x14ac:knownFonts="1"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ZapfHumnst BT"/>
      <family val="2"/>
    </font>
    <font>
      <sz val="8"/>
      <name val="ZapfHumnst BT"/>
      <family val="2"/>
    </font>
    <font>
      <sz val="10"/>
      <color theme="1"/>
      <name val="Arial Narrow"/>
      <family val="2"/>
    </font>
    <font>
      <b/>
      <sz val="11"/>
      <color rgb="FF9E0000"/>
      <name val="ZapfHumnst BT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0"/>
      <name val="ZapfHumnst BT"/>
      <family val="2"/>
    </font>
    <font>
      <b/>
      <sz val="10"/>
      <color theme="1"/>
      <name val="ZapfHumnst BT"/>
      <family val="2"/>
    </font>
    <font>
      <b/>
      <sz val="9"/>
      <color indexed="81"/>
      <name val="Tahoma"/>
      <family val="2"/>
    </font>
    <font>
      <b/>
      <sz val="8"/>
      <name val="ZapfHumnst BT"/>
      <family val="2"/>
    </font>
    <font>
      <b/>
      <sz val="8"/>
      <color theme="0" tint="-0.249977111117893"/>
      <name val="ZapfHumnst BT"/>
      <family val="2"/>
    </font>
    <font>
      <sz val="8"/>
      <color theme="1"/>
      <name val="ZapfHumnst BT"/>
      <family val="2"/>
    </font>
    <font>
      <b/>
      <sz val="8"/>
      <color rgb="FFFF0000"/>
      <name val="ZapfHumnst BT"/>
      <family val="2"/>
    </font>
    <font>
      <b/>
      <u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sz val="11"/>
      <color rgb="FFFF0000"/>
      <name val="ZapfHumnst BT"/>
      <family val="2"/>
    </font>
    <font>
      <sz val="10"/>
      <color theme="1"/>
      <name val="ZapfHumnst BT"/>
      <family val="2"/>
    </font>
    <font>
      <sz val="9"/>
      <color indexed="81"/>
      <name val="Tahoma"/>
      <family val="2"/>
    </font>
    <font>
      <b/>
      <sz val="8"/>
      <color theme="1"/>
      <name val="ZapfHumnst BT"/>
      <family val="2"/>
    </font>
    <font>
      <sz val="8"/>
      <color theme="1"/>
      <name val="Arial Narrow"/>
      <family val="2"/>
    </font>
    <font>
      <b/>
      <sz val="10"/>
      <color rgb="FF92D050"/>
      <name val="Arial Narrow"/>
      <family val="2"/>
    </font>
    <font>
      <b/>
      <i/>
      <sz val="10"/>
      <name val="ZapfHumnst BT"/>
      <family val="2"/>
    </font>
    <font>
      <i/>
      <sz val="10"/>
      <color theme="1"/>
      <name val="ZapfHumnst BT"/>
      <family val="2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i/>
      <sz val="11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DCDB"/>
        <bgColor indexed="64"/>
      </patternFill>
    </fill>
  </fills>
  <borders count="3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22">
    <xf numFmtId="0" fontId="0" fillId="0" borderId="0" xfId="0"/>
    <xf numFmtId="0" fontId="0" fillId="2" borderId="0" xfId="0" applyFill="1" applyBorder="1"/>
    <xf numFmtId="164" fontId="0" fillId="2" borderId="0" xfId="0" applyNumberFormat="1" applyFill="1" applyBorder="1"/>
    <xf numFmtId="16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7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/>
    <xf numFmtId="2" fontId="0" fillId="2" borderId="0" xfId="2" applyNumberFormat="1" applyFont="1" applyFill="1" applyBorder="1" applyAlignment="1">
      <alignment horizontal="center"/>
    </xf>
    <xf numFmtId="164" fontId="0" fillId="2" borderId="0" xfId="2" applyNumberFormat="1" applyFont="1" applyFill="1" applyBorder="1" applyAlignment="1">
      <alignment horizontal="center"/>
    </xf>
    <xf numFmtId="3" fontId="0" fillId="2" borderId="0" xfId="0" applyNumberFormat="1" applyFill="1" applyBorder="1"/>
    <xf numFmtId="1" fontId="0" fillId="2" borderId="0" xfId="0" applyNumberFormat="1" applyFill="1" applyBorder="1"/>
    <xf numFmtId="10" fontId="0" fillId="2" borderId="0" xfId="0" applyNumberFormat="1" applyFill="1" applyBorder="1"/>
    <xf numFmtId="2" fontId="4" fillId="2" borderId="1" xfId="2" applyNumberFormat="1" applyFont="1" applyFill="1" applyBorder="1" applyAlignment="1">
      <alignment horizontal="center"/>
    </xf>
    <xf numFmtId="165" fontId="5" fillId="2" borderId="0" xfId="1" applyNumberFormat="1" applyFont="1" applyFill="1" applyBorder="1"/>
    <xf numFmtId="17" fontId="4" fillId="2" borderId="2" xfId="0" applyNumberFormat="1" applyFont="1" applyFill="1" applyBorder="1" applyAlignment="1">
      <alignment horizontal="center"/>
    </xf>
    <xf numFmtId="17" fontId="4" fillId="2" borderId="1" xfId="0" applyNumberFormat="1" applyFont="1" applyFill="1" applyBorder="1" applyAlignment="1">
      <alignment horizontal="center"/>
    </xf>
    <xf numFmtId="0" fontId="9" fillId="2" borderId="0" xfId="3" applyFont="1" applyFill="1" applyBorder="1" applyAlignment="1" applyProtection="1">
      <alignment horizont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3" fontId="11" fillId="4" borderId="0" xfId="0" applyNumberFormat="1" applyFont="1" applyFill="1" applyBorder="1" applyAlignment="1">
      <alignment horizontal="center"/>
    </xf>
    <xf numFmtId="3" fontId="13" fillId="2" borderId="0" xfId="0" applyNumberFormat="1" applyFont="1" applyFill="1" applyBorder="1"/>
    <xf numFmtId="3" fontId="13" fillId="2" borderId="0" xfId="0" applyNumberFormat="1" applyFont="1" applyFill="1" applyBorder="1" applyAlignment="1">
      <alignment horizontal="center"/>
    </xf>
    <xf numFmtId="3" fontId="14" fillId="2" borderId="0" xfId="0" applyNumberFormat="1" applyFont="1" applyFill="1" applyBorder="1"/>
    <xf numFmtId="0" fontId="5" fillId="2" borderId="0" xfId="0" applyFont="1" applyFill="1" applyBorder="1"/>
    <xf numFmtId="0" fontId="15" fillId="2" borderId="0" xfId="0" applyFont="1" applyFill="1" applyBorder="1"/>
    <xf numFmtId="3" fontId="16" fillId="2" borderId="0" xfId="0" applyNumberFormat="1" applyFont="1" applyFill="1" applyBorder="1"/>
    <xf numFmtId="0" fontId="18" fillId="2" borderId="0" xfId="3" applyFont="1" applyFill="1" applyBorder="1" applyAlignment="1" applyProtection="1">
      <alignment horizontal="center"/>
    </xf>
    <xf numFmtId="0" fontId="10" fillId="3" borderId="4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165" fontId="19" fillId="2" borderId="0" xfId="1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164" fontId="4" fillId="2" borderId="13" xfId="0" applyNumberFormat="1" applyFont="1" applyFill="1" applyBorder="1" applyAlignment="1">
      <alignment horizontal="center"/>
    </xf>
    <xf numFmtId="164" fontId="20" fillId="2" borderId="13" xfId="0" applyNumberFormat="1" applyFont="1" applyFill="1" applyBorder="1" applyAlignment="1">
      <alignment horizontal="center"/>
    </xf>
    <xf numFmtId="164" fontId="20" fillId="2" borderId="2" xfId="0" applyNumberFormat="1" applyFont="1" applyFill="1" applyBorder="1" applyAlignment="1">
      <alignment horizontal="center"/>
    </xf>
    <xf numFmtId="164" fontId="20" fillId="2" borderId="0" xfId="0" applyNumberFormat="1" applyFont="1" applyFill="1" applyBorder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0" fontId="7" fillId="0" borderId="0" xfId="0" applyFont="1" applyFill="1"/>
    <xf numFmtId="164" fontId="4" fillId="2" borderId="0" xfId="0" applyNumberFormat="1" applyFont="1" applyFill="1" applyBorder="1"/>
    <xf numFmtId="164" fontId="4" fillId="2" borderId="2" xfId="0" applyNumberFormat="1" applyFont="1" applyFill="1" applyBorder="1" applyAlignment="1">
      <alignment horizontal="center"/>
    </xf>
    <xf numFmtId="17" fontId="4" fillId="0" borderId="2" xfId="0" applyNumberFormat="1" applyFont="1" applyFill="1" applyBorder="1" applyAlignment="1">
      <alignment horizontal="center"/>
    </xf>
    <xf numFmtId="2" fontId="4" fillId="2" borderId="0" xfId="0" applyNumberFormat="1" applyFont="1" applyFill="1"/>
    <xf numFmtId="0" fontId="4" fillId="2" borderId="0" xfId="0" applyFont="1" applyFill="1" applyAlignment="1">
      <alignment horizontal="center"/>
    </xf>
    <xf numFmtId="17" fontId="19" fillId="0" borderId="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9" fillId="0" borderId="0" xfId="3" applyFont="1" applyFill="1" applyBorder="1" applyAlignment="1" applyProtection="1">
      <alignment horizontal="center"/>
    </xf>
    <xf numFmtId="164" fontId="0" fillId="0" borderId="0" xfId="0" applyNumberFormat="1" applyFill="1"/>
    <xf numFmtId="0" fontId="10" fillId="3" borderId="11" xfId="0" applyFont="1" applyFill="1" applyBorder="1" applyAlignment="1">
      <alignment horizontal="center" vertical="center"/>
    </xf>
    <xf numFmtId="166" fontId="4" fillId="0" borderId="14" xfId="0" applyNumberFormat="1" applyFont="1" applyFill="1" applyBorder="1" applyAlignment="1">
      <alignment horizontal="center"/>
    </xf>
    <xf numFmtId="166" fontId="4" fillId="0" borderId="15" xfId="0" applyNumberFormat="1" applyFont="1" applyFill="1" applyBorder="1" applyAlignment="1">
      <alignment horizontal="center"/>
    </xf>
    <xf numFmtId="166" fontId="4" fillId="0" borderId="1" xfId="0" applyNumberFormat="1" applyFont="1" applyFill="1" applyBorder="1" applyAlignment="1">
      <alignment horizontal="center"/>
    </xf>
    <xf numFmtId="4" fontId="0" fillId="0" borderId="0" xfId="0" applyNumberFormat="1" applyFill="1"/>
    <xf numFmtId="0" fontId="21" fillId="0" borderId="0" xfId="0" applyFont="1" applyFill="1" applyBorder="1"/>
    <xf numFmtId="166" fontId="4" fillId="5" borderId="1" xfId="0" applyNumberFormat="1" applyFont="1" applyFill="1" applyBorder="1" applyAlignment="1">
      <alignment horizontal="center"/>
    </xf>
    <xf numFmtId="2" fontId="0" fillId="0" borderId="0" xfId="0" applyNumberFormat="1" applyFill="1"/>
    <xf numFmtId="0" fontId="0" fillId="0" borderId="0" xfId="0" applyFill="1" applyBorder="1"/>
    <xf numFmtId="0" fontId="0" fillId="6" borderId="0" xfId="0" applyFill="1"/>
    <xf numFmtId="0" fontId="4" fillId="0" borderId="0" xfId="0" applyFont="1" applyFill="1" applyAlignment="1">
      <alignment horizontal="center"/>
    </xf>
    <xf numFmtId="165" fontId="15" fillId="0" borderId="0" xfId="1" applyNumberFormat="1" applyFont="1" applyFill="1" applyBorder="1"/>
    <xf numFmtId="3" fontId="23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24" fillId="0" borderId="0" xfId="0" applyFont="1" applyFill="1" applyBorder="1"/>
    <xf numFmtId="0" fontId="24" fillId="0" borderId="0" xfId="0" applyFont="1" applyFill="1"/>
    <xf numFmtId="0" fontId="25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64" fontId="24" fillId="0" borderId="0" xfId="0" applyNumberFormat="1" applyFont="1" applyFill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7" fontId="4" fillId="0" borderId="5" xfId="0" applyNumberFormat="1" applyFont="1" applyFill="1" applyBorder="1" applyAlignment="1">
      <alignment horizontal="center"/>
    </xf>
    <xf numFmtId="164" fontId="4" fillId="0" borderId="17" xfId="0" applyNumberFormat="1" applyFont="1" applyFill="1" applyBorder="1" applyAlignment="1">
      <alignment horizontal="center"/>
    </xf>
    <xf numFmtId="164" fontId="4" fillId="0" borderId="16" xfId="0" applyNumberFormat="1" applyFont="1" applyFill="1" applyBorder="1" applyAlignment="1">
      <alignment horizontal="center"/>
    </xf>
    <xf numFmtId="164" fontId="4" fillId="0" borderId="18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4" fillId="0" borderId="13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6" fillId="0" borderId="0" xfId="0" applyFont="1" applyFill="1" applyBorder="1"/>
    <xf numFmtId="164" fontId="4" fillId="5" borderId="1" xfId="0" applyNumberFormat="1" applyFont="1" applyFill="1" applyBorder="1" applyAlignment="1">
      <alignment horizontal="center"/>
    </xf>
    <xf numFmtId="17" fontId="4" fillId="7" borderId="2" xfId="0" applyNumberFormat="1" applyFont="1" applyFill="1" applyBorder="1" applyAlignment="1">
      <alignment horizontal="center"/>
    </xf>
    <xf numFmtId="0" fontId="0" fillId="6" borderId="0" xfId="0" applyFill="1" applyBorder="1"/>
    <xf numFmtId="2" fontId="4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15" fillId="0" borderId="0" xfId="1" applyNumberFormat="1" applyFont="1" applyFill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vertical="top"/>
    </xf>
    <xf numFmtId="0" fontId="15" fillId="0" borderId="0" xfId="0" applyFont="1" applyFill="1"/>
    <xf numFmtId="0" fontId="9" fillId="2" borderId="0" xfId="3" applyFont="1" applyFill="1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17" fontId="4" fillId="2" borderId="19" xfId="0" applyNumberFormat="1" applyFont="1" applyFill="1" applyBorder="1" applyAlignment="1">
      <alignment horizontal="center"/>
    </xf>
    <xf numFmtId="2" fontId="4" fillId="2" borderId="20" xfId="0" applyNumberFormat="1" applyFont="1" applyFill="1" applyBorder="1" applyAlignment="1">
      <alignment horizontal="center"/>
    </xf>
    <xf numFmtId="164" fontId="4" fillId="2" borderId="5" xfId="0" applyNumberFormat="1" applyFont="1" applyFill="1" applyBorder="1" applyAlignment="1">
      <alignment horizontal="center"/>
    </xf>
    <xf numFmtId="164" fontId="4" fillId="2" borderId="16" xfId="0" applyNumberFormat="1" applyFont="1" applyFill="1" applyBorder="1" applyAlignment="1">
      <alignment horizontal="center"/>
    </xf>
    <xf numFmtId="164" fontId="4" fillId="2" borderId="18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17" fontId="4" fillId="0" borderId="19" xfId="0" applyNumberFormat="1" applyFont="1" applyFill="1" applyBorder="1" applyAlignment="1">
      <alignment horizontal="center"/>
    </xf>
    <xf numFmtId="167" fontId="0" fillId="0" borderId="0" xfId="2" applyNumberFormat="1" applyFont="1" applyFill="1"/>
    <xf numFmtId="167" fontId="0" fillId="0" borderId="0" xfId="0" applyNumberFormat="1" applyFill="1"/>
    <xf numFmtId="2" fontId="4" fillId="0" borderId="20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/>
    </xf>
    <xf numFmtId="0" fontId="0" fillId="2" borderId="0" xfId="0" applyFill="1"/>
    <xf numFmtId="0" fontId="2" fillId="0" borderId="0" xfId="4"/>
    <xf numFmtId="0" fontId="2" fillId="0" borderId="0" xfId="4" applyAlignment="1">
      <alignment horizontal="center" vertical="center"/>
    </xf>
    <xf numFmtId="164" fontId="2" fillId="0" borderId="0" xfId="4" applyNumberFormat="1"/>
    <xf numFmtId="164" fontId="28" fillId="0" borderId="0" xfId="4" applyNumberFormat="1" applyFont="1"/>
    <xf numFmtId="0" fontId="2" fillId="0" borderId="0" xfId="4" applyAlignment="1"/>
    <xf numFmtId="168" fontId="0" fillId="0" borderId="0" xfId="5" applyNumberFormat="1" applyFont="1"/>
    <xf numFmtId="0" fontId="29" fillId="0" borderId="0" xfId="4" applyFont="1"/>
    <xf numFmtId="17" fontId="29" fillId="0" borderId="0" xfId="4" applyNumberFormat="1" applyFont="1"/>
    <xf numFmtId="2" fontId="29" fillId="0" borderId="0" xfId="5" applyNumberFormat="1" applyFont="1"/>
    <xf numFmtId="2" fontId="29" fillId="0" borderId="0" xfId="4" applyNumberFormat="1" applyFont="1"/>
    <xf numFmtId="2" fontId="29" fillId="0" borderId="0" xfId="5" applyNumberFormat="1" applyFont="1" applyFill="1"/>
    <xf numFmtId="164" fontId="29" fillId="2" borderId="0" xfId="0" applyNumberFormat="1" applyFont="1" applyFill="1" applyBorder="1"/>
    <xf numFmtId="0" fontId="29" fillId="2" borderId="0" xfId="0" applyFont="1" applyFill="1" applyBorder="1"/>
    <xf numFmtId="2" fontId="29" fillId="2" borderId="0" xfId="2" applyNumberFormat="1" applyFont="1" applyFill="1" applyBorder="1" applyAlignment="1">
      <alignment horizontal="center"/>
    </xf>
    <xf numFmtId="0" fontId="33" fillId="2" borderId="0" xfId="0" applyFont="1" applyFill="1" applyBorder="1"/>
    <xf numFmtId="0" fontId="29" fillId="0" borderId="0" xfId="0" applyFont="1" applyFill="1"/>
    <xf numFmtId="164" fontId="29" fillId="0" borderId="0" xfId="0" applyNumberFormat="1" applyFont="1" applyFill="1" applyBorder="1"/>
    <xf numFmtId="0" fontId="29" fillId="2" borderId="0" xfId="0" applyFont="1" applyFill="1"/>
    <xf numFmtId="0" fontId="32" fillId="2" borderId="0" xfId="0" applyFont="1" applyFill="1"/>
    <xf numFmtId="0" fontId="29" fillId="0" borderId="0" xfId="0" applyFont="1"/>
    <xf numFmtId="0" fontId="35" fillId="2" borderId="0" xfId="6" applyFont="1" applyFill="1" applyBorder="1"/>
    <xf numFmtId="0" fontId="35" fillId="2" borderId="0" xfId="6" applyFont="1" applyFill="1" applyBorder="1" applyAlignment="1"/>
    <xf numFmtId="0" fontId="36" fillId="2" borderId="0" xfId="6" applyFont="1" applyFill="1" applyBorder="1" applyAlignment="1">
      <alignment vertical="center"/>
    </xf>
    <xf numFmtId="0" fontId="36" fillId="2" borderId="0" xfId="6" applyFont="1" applyFill="1" applyBorder="1" applyAlignment="1">
      <alignment horizontal="center" vertical="center" wrapText="1"/>
    </xf>
    <xf numFmtId="0" fontId="36" fillId="2" borderId="0" xfId="6" applyFont="1" applyFill="1" applyBorder="1" applyAlignment="1">
      <alignment horizontal="center" wrapText="1"/>
    </xf>
    <xf numFmtId="0" fontId="35" fillId="2" borderId="0" xfId="6" applyFont="1" applyFill="1" applyBorder="1" applyAlignment="1">
      <alignment horizontal="center" wrapText="1"/>
    </xf>
    <xf numFmtId="17" fontId="35" fillId="2" borderId="0" xfId="6" applyNumberFormat="1" applyFont="1" applyFill="1" applyBorder="1"/>
    <xf numFmtId="2" fontId="35" fillId="2" borderId="0" xfId="6" applyNumberFormat="1" applyFont="1" applyFill="1" applyBorder="1" applyAlignment="1">
      <alignment horizontal="center" vertical="center"/>
    </xf>
    <xf numFmtId="2" fontId="35" fillId="2" borderId="0" xfId="6" applyNumberFormat="1" applyFont="1" applyFill="1" applyBorder="1" applyAlignment="1">
      <alignment horizontal="center"/>
    </xf>
    <xf numFmtId="0" fontId="29" fillId="2" borderId="0" xfId="6" applyFont="1" applyFill="1" applyBorder="1"/>
    <xf numFmtId="0" fontId="29" fillId="0" borderId="0" xfId="6" applyFont="1"/>
    <xf numFmtId="0" fontId="29" fillId="2" borderId="0" xfId="6" applyFont="1" applyFill="1" applyBorder="1" applyAlignment="1">
      <alignment horizontal="center" wrapText="1"/>
    </xf>
    <xf numFmtId="2" fontId="29" fillId="2" borderId="0" xfId="6" applyNumberFormat="1" applyFont="1" applyFill="1" applyBorder="1" applyAlignment="1">
      <alignment horizontal="center" vertical="center"/>
    </xf>
    <xf numFmtId="2" fontId="29" fillId="2" borderId="0" xfId="6" applyNumberFormat="1" applyFont="1" applyFill="1" applyBorder="1" applyAlignment="1">
      <alignment vertical="center"/>
    </xf>
    <xf numFmtId="164" fontId="29" fillId="0" borderId="0" xfId="0" applyNumberFormat="1" applyFont="1" applyFill="1"/>
    <xf numFmtId="17" fontId="29" fillId="0" borderId="0" xfId="0" applyNumberFormat="1" applyFont="1" applyFill="1"/>
    <xf numFmtId="0" fontId="32" fillId="0" borderId="0" xfId="0" applyFont="1" applyFill="1" applyBorder="1"/>
    <xf numFmtId="0" fontId="29" fillId="0" borderId="0" xfId="0" applyFont="1" applyAlignment="1">
      <alignment horizontal="left" vertical="center"/>
    </xf>
    <xf numFmtId="0" fontId="29" fillId="0" borderId="0" xfId="0" applyFont="1" applyFill="1" applyBorder="1"/>
    <xf numFmtId="0" fontId="29" fillId="0" borderId="0" xfId="0" applyFont="1" applyAlignment="1">
      <alignment horizontal="left"/>
    </xf>
    <xf numFmtId="0" fontId="32" fillId="0" borderId="0" xfId="0" applyFont="1" applyFill="1"/>
    <xf numFmtId="0" fontId="29" fillId="0" borderId="0" xfId="4" applyFont="1" applyFill="1" applyBorder="1"/>
    <xf numFmtId="0" fontId="34" fillId="0" borderId="0" xfId="0" applyFont="1" applyBorder="1"/>
    <xf numFmtId="0" fontId="29" fillId="0" borderId="0" xfId="0" applyFont="1" applyBorder="1"/>
    <xf numFmtId="0" fontId="29" fillId="0" borderId="27" xfId="0" applyFont="1" applyBorder="1"/>
    <xf numFmtId="164" fontId="33" fillId="0" borderId="28" xfId="0" applyNumberFormat="1" applyFont="1" applyBorder="1" applyAlignment="1">
      <alignment horizontal="center" vertical="center"/>
    </xf>
    <xf numFmtId="164" fontId="33" fillId="0" borderId="22" xfId="0" applyNumberFormat="1" applyFont="1" applyBorder="1" applyAlignment="1">
      <alignment horizontal="center" vertical="center"/>
    </xf>
    <xf numFmtId="0" fontId="32" fillId="0" borderId="0" xfId="0" applyFont="1" applyBorder="1"/>
    <xf numFmtId="164" fontId="29" fillId="0" borderId="28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0" fontId="29" fillId="0" borderId="22" xfId="0" applyFont="1" applyBorder="1"/>
    <xf numFmtId="0" fontId="34" fillId="0" borderId="23" xfId="0" applyFont="1" applyBorder="1"/>
    <xf numFmtId="0" fontId="29" fillId="0" borderId="23" xfId="0" applyFont="1" applyBorder="1"/>
    <xf numFmtId="0" fontId="29" fillId="0" borderId="31" xfId="0" applyFont="1" applyBorder="1"/>
    <xf numFmtId="164" fontId="33" fillId="0" borderId="32" xfId="0" applyNumberFormat="1" applyFont="1" applyBorder="1" applyAlignment="1">
      <alignment horizontal="center" vertical="center"/>
    </xf>
    <xf numFmtId="164" fontId="33" fillId="0" borderId="25" xfId="0" applyNumberFormat="1" applyFont="1" applyBorder="1" applyAlignment="1">
      <alignment horizontal="center" vertical="center"/>
    </xf>
    <xf numFmtId="0" fontId="30" fillId="0" borderId="0" xfId="0" applyFont="1" applyFill="1" applyBorder="1"/>
    <xf numFmtId="0" fontId="30" fillId="0" borderId="0" xfId="4" applyFont="1" applyAlignment="1"/>
    <xf numFmtId="0" fontId="29" fillId="0" borderId="0" xfId="4" applyFont="1" applyAlignment="1"/>
    <xf numFmtId="166" fontId="0" fillId="0" borderId="0" xfId="0" applyNumberFormat="1" applyFill="1"/>
    <xf numFmtId="164" fontId="4" fillId="0" borderId="0" xfId="0" applyNumberFormat="1" applyFont="1" applyFill="1" applyAlignment="1">
      <alignment horizontal="center"/>
    </xf>
    <xf numFmtId="169" fontId="2" fillId="0" borderId="0" xfId="4" applyNumberFormat="1"/>
    <xf numFmtId="0" fontId="10" fillId="3" borderId="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36" fillId="2" borderId="0" xfId="6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3" fontId="10" fillId="3" borderId="6" xfId="0" applyNumberFormat="1" applyFont="1" applyFill="1" applyBorder="1" applyAlignment="1">
      <alignment horizontal="center" vertical="center"/>
    </xf>
    <xf numFmtId="3" fontId="10" fillId="3" borderId="7" xfId="0" applyNumberFormat="1" applyFont="1" applyFill="1" applyBorder="1" applyAlignment="1">
      <alignment horizontal="center" vertical="center"/>
    </xf>
    <xf numFmtId="3" fontId="10" fillId="3" borderId="8" xfId="0" applyNumberFormat="1" applyFont="1" applyFill="1" applyBorder="1" applyAlignment="1">
      <alignment horizontal="center" vertical="center"/>
    </xf>
    <xf numFmtId="0" fontId="33" fillId="8" borderId="16" xfId="0" applyFont="1" applyFill="1" applyBorder="1" applyAlignment="1">
      <alignment horizontal="center" vertical="center" wrapText="1"/>
    </xf>
    <xf numFmtId="0" fontId="33" fillId="8" borderId="18" xfId="0" applyFont="1" applyFill="1" applyBorder="1" applyAlignment="1">
      <alignment horizontal="center" vertical="center" wrapText="1"/>
    </xf>
    <xf numFmtId="0" fontId="33" fillId="8" borderId="0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4" xfId="0" applyFont="1" applyFill="1" applyBorder="1" applyAlignment="1">
      <alignment horizontal="center" vertical="center" wrapText="1"/>
    </xf>
    <xf numFmtId="17" fontId="33" fillId="8" borderId="11" xfId="0" applyNumberFormat="1" applyFont="1" applyFill="1" applyBorder="1" applyAlignment="1">
      <alignment horizontal="center"/>
    </xf>
    <xf numFmtId="0" fontId="33" fillId="8" borderId="10" xfId="0" applyFont="1" applyFill="1" applyBorder="1" applyAlignment="1">
      <alignment horizontal="center"/>
    </xf>
    <xf numFmtId="0" fontId="33" fillId="8" borderId="3" xfId="0" applyFont="1" applyFill="1" applyBorder="1" applyAlignment="1">
      <alignment horizontal="center"/>
    </xf>
    <xf numFmtId="0" fontId="34" fillId="8" borderId="21" xfId="0" applyFont="1" applyFill="1" applyBorder="1" applyAlignment="1">
      <alignment horizontal="center" vertical="center" wrapText="1"/>
    </xf>
    <xf numFmtId="0" fontId="34" fillId="8" borderId="22" xfId="0" applyFont="1" applyFill="1" applyBorder="1" applyAlignment="1">
      <alignment horizontal="center" vertical="center" wrapText="1"/>
    </xf>
    <xf numFmtId="0" fontId="34" fillId="8" borderId="25" xfId="0" applyFont="1" applyFill="1" applyBorder="1" applyAlignment="1">
      <alignment horizontal="center" vertical="center" wrapText="1"/>
    </xf>
    <xf numFmtId="0" fontId="34" fillId="8" borderId="16" xfId="0" applyFont="1" applyFill="1" applyBorder="1" applyAlignment="1">
      <alignment horizontal="center" vertical="center" wrapText="1"/>
    </xf>
    <xf numFmtId="0" fontId="34" fillId="8" borderId="0" xfId="0" applyFont="1" applyFill="1" applyBorder="1" applyAlignment="1">
      <alignment horizontal="center" vertical="center" wrapText="1"/>
    </xf>
    <xf numFmtId="0" fontId="34" fillId="8" borderId="23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34" fillId="8" borderId="24" xfId="0" applyFont="1" applyFill="1" applyBorder="1" applyAlignment="1">
      <alignment horizontal="center" vertical="center" wrapText="1"/>
    </xf>
    <xf numFmtId="0" fontId="34" fillId="8" borderId="17" xfId="0" applyFont="1" applyFill="1" applyBorder="1" applyAlignment="1">
      <alignment horizontal="center" vertical="center" wrapText="1"/>
    </xf>
    <xf numFmtId="0" fontId="34" fillId="8" borderId="26" xfId="0" applyFont="1" applyFill="1" applyBorder="1" applyAlignment="1">
      <alignment horizontal="center" vertical="center" wrapText="1"/>
    </xf>
    <xf numFmtId="0" fontId="34" fillId="8" borderId="18" xfId="0" applyFont="1" applyFill="1" applyBorder="1" applyAlignment="1">
      <alignment horizontal="center" vertical="center" wrapText="1"/>
    </xf>
    <xf numFmtId="164" fontId="33" fillId="0" borderId="22" xfId="0" applyNumberFormat="1" applyFont="1" applyBorder="1" applyAlignment="1">
      <alignment horizontal="center"/>
    </xf>
    <xf numFmtId="164" fontId="33" fillId="0" borderId="0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3" fillId="0" borderId="27" xfId="0" applyNumberFormat="1" applyFont="1" applyBorder="1" applyAlignment="1">
      <alignment horizontal="center"/>
    </xf>
    <xf numFmtId="164" fontId="33" fillId="0" borderId="29" xfId="0" applyNumberFormat="1" applyFont="1" applyBorder="1" applyAlignment="1">
      <alignment horizontal="center"/>
    </xf>
    <xf numFmtId="164" fontId="33" fillId="0" borderId="30" xfId="0" applyNumberFormat="1" applyFont="1" applyBorder="1" applyAlignment="1">
      <alignment horizontal="center"/>
    </xf>
    <xf numFmtId="164" fontId="29" fillId="0" borderId="22" xfId="0" applyNumberFormat="1" applyFont="1" applyBorder="1" applyAlignment="1">
      <alignment horizontal="center"/>
    </xf>
    <xf numFmtId="164" fontId="29" fillId="0" borderId="0" xfId="0" applyNumberFormat="1" applyFont="1" applyBorder="1" applyAlignment="1">
      <alignment horizontal="center"/>
    </xf>
    <xf numFmtId="164" fontId="29" fillId="0" borderId="0" xfId="0" applyNumberFormat="1" applyFont="1" applyAlignment="1">
      <alignment horizontal="center"/>
    </xf>
    <xf numFmtId="164" fontId="29" fillId="0" borderId="27" xfId="0" applyNumberFormat="1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3" fillId="0" borderId="0" xfId="0" applyFont="1" applyAlignment="1">
      <alignment horizontal="center"/>
    </xf>
    <xf numFmtId="164" fontId="33" fillId="0" borderId="25" xfId="0" applyNumberFormat="1" applyFont="1" applyBorder="1" applyAlignment="1">
      <alignment horizontal="center"/>
    </xf>
    <xf numFmtId="164" fontId="33" fillId="0" borderId="23" xfId="0" applyNumberFormat="1" applyFont="1" applyBorder="1" applyAlignment="1">
      <alignment horizontal="center"/>
    </xf>
    <xf numFmtId="164" fontId="33" fillId="0" borderId="23" xfId="0" applyNumberFormat="1" applyFont="1" applyBorder="1" applyAlignment="1">
      <alignment horizontal="center" wrapText="1"/>
    </xf>
    <xf numFmtId="164" fontId="33" fillId="0" borderId="31" xfId="0" applyNumberFormat="1" applyFont="1" applyBorder="1" applyAlignment="1">
      <alignment horizontal="center" wrapText="1"/>
    </xf>
    <xf numFmtId="0" fontId="30" fillId="0" borderId="0" xfId="4" applyFont="1" applyFill="1" applyBorder="1" applyAlignment="1">
      <alignment horizontal="left"/>
    </xf>
    <xf numFmtId="2" fontId="29" fillId="2" borderId="0" xfId="2" applyNumberFormat="1" applyFont="1" applyFill="1" applyBorder="1" applyAlignment="1">
      <alignment horizontal="left"/>
    </xf>
  </cellXfs>
  <cellStyles count="7">
    <cellStyle name="Hipervínculo" xfId="3" builtinId="8"/>
    <cellStyle name="Millares" xfId="1" builtinId="3"/>
    <cellStyle name="Normal" xfId="0" builtinId="0"/>
    <cellStyle name="Normal 2" xfId="4"/>
    <cellStyle name="Normal 3" xfId="6"/>
    <cellStyle name="Porcentaje" xfId="2" builtinId="5"/>
    <cellStyle name="Porcentaje 2" xfId="5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4855855183329938"/>
          <c:w val="0.81648600847970931"/>
          <c:h val="0.57135778913419477"/>
        </c:manualLayout>
      </c:layout>
      <c:lineChart>
        <c:grouping val="standard"/>
        <c:varyColors val="0"/>
        <c:ser>
          <c:idx val="0"/>
          <c:order val="0"/>
          <c:tx>
            <c:strRef>
              <c:f>'G2.1'!$B$2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'G2.1'!$A$3:$A$500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'G2.1'!$B$3:$B$500</c:f>
              <c:numCache>
                <c:formatCode>_(* #,##0_);_(* \(#,##0\);_(* "-"??_);_(@_)</c:formatCode>
                <c:ptCount val="498"/>
                <c:pt idx="0">
                  <c:v>198.2259697096562</c:v>
                </c:pt>
                <c:pt idx="1">
                  <c:v>197.37018112494135</c:v>
                </c:pt>
                <c:pt idx="2">
                  <c:v>192.72714347649003</c:v>
                </c:pt>
                <c:pt idx="3">
                  <c:v>187.92566536293955</c:v>
                </c:pt>
                <c:pt idx="4">
                  <c:v>186.82642732239853</c:v>
                </c:pt>
                <c:pt idx="5">
                  <c:v>183.04097988796693</c:v>
                </c:pt>
                <c:pt idx="6">
                  <c:v>181.28687299036307</c:v>
                </c:pt>
                <c:pt idx="7">
                  <c:v>180.75705849193176</c:v>
                </c:pt>
                <c:pt idx="8">
                  <c:v>182.69613262927379</c:v>
                </c:pt>
                <c:pt idx="9">
                  <c:v>185.39672032580387</c:v>
                </c:pt>
                <c:pt idx="10">
                  <c:v>182.59921197159591</c:v>
                </c:pt>
                <c:pt idx="11">
                  <c:v>183.22901649244278</c:v>
                </c:pt>
                <c:pt idx="12">
                  <c:v>181.45823304957185</c:v>
                </c:pt>
                <c:pt idx="13">
                  <c:v>180.75621484149752</c:v>
                </c:pt>
                <c:pt idx="14">
                  <c:v>170.05425648684374</c:v>
                </c:pt>
                <c:pt idx="15">
                  <c:v>167.40426439240238</c:v>
                </c:pt>
                <c:pt idx="16">
                  <c:v>167.14943071412287</c:v>
                </c:pt>
                <c:pt idx="17">
                  <c:v>166.29798011032611</c:v>
                </c:pt>
                <c:pt idx="18">
                  <c:v>164.86025101557766</c:v>
                </c:pt>
                <c:pt idx="19">
                  <c:v>164.22433949612542</c:v>
                </c:pt>
                <c:pt idx="20">
                  <c:v>162.60872667628394</c:v>
                </c:pt>
                <c:pt idx="21">
                  <c:v>162.41053093826531</c:v>
                </c:pt>
                <c:pt idx="22">
                  <c:v>163.70018113398584</c:v>
                </c:pt>
                <c:pt idx="23">
                  <c:v>164.15503971993311</c:v>
                </c:pt>
                <c:pt idx="24">
                  <c:v>165.13766320892566</c:v>
                </c:pt>
                <c:pt idx="25">
                  <c:v>163.34278284997001</c:v>
                </c:pt>
                <c:pt idx="26">
                  <c:v>159.7682137219569</c:v>
                </c:pt>
                <c:pt idx="27">
                  <c:v>157.73645277073871</c:v>
                </c:pt>
                <c:pt idx="28">
                  <c:v>157.58217148145457</c:v>
                </c:pt>
                <c:pt idx="29">
                  <c:v>157.48538874022185</c:v>
                </c:pt>
                <c:pt idx="30">
                  <c:v>158.18854481050047</c:v>
                </c:pt>
                <c:pt idx="31">
                  <c:v>157.03322046192298</c:v>
                </c:pt>
                <c:pt idx="32">
                  <c:v>157.10550345184788</c:v>
                </c:pt>
                <c:pt idx="33">
                  <c:v>158.41629263283039</c:v>
                </c:pt>
                <c:pt idx="34">
                  <c:v>159.42869702862291</c:v>
                </c:pt>
                <c:pt idx="35">
                  <c:v>162.96687063619075</c:v>
                </c:pt>
                <c:pt idx="36">
                  <c:v>163.44290456480095</c:v>
                </c:pt>
                <c:pt idx="37">
                  <c:v>160.25617017414203</c:v>
                </c:pt>
                <c:pt idx="38">
                  <c:v>159.96456805242948</c:v>
                </c:pt>
                <c:pt idx="39">
                  <c:v>158.9145802114673</c:v>
                </c:pt>
                <c:pt idx="40">
                  <c:v>159.85594189105143</c:v>
                </c:pt>
                <c:pt idx="41">
                  <c:v>159.39887021124386</c:v>
                </c:pt>
                <c:pt idx="42">
                  <c:v>159.85281366674121</c:v>
                </c:pt>
                <c:pt idx="43">
                  <c:v>160.15626570478872</c:v>
                </c:pt>
                <c:pt idx="44">
                  <c:v>160.75485762559083</c:v>
                </c:pt>
                <c:pt idx="45">
                  <c:v>161.56200418822505</c:v>
                </c:pt>
                <c:pt idx="46">
                  <c:v>160.26913650672626</c:v>
                </c:pt>
                <c:pt idx="47">
                  <c:v>163.2202054544689</c:v>
                </c:pt>
                <c:pt idx="48">
                  <c:v>164.27008380343315</c:v>
                </c:pt>
                <c:pt idx="49">
                  <c:v>162.76891472681118</c:v>
                </c:pt>
                <c:pt idx="50">
                  <c:v>162.54452007901745</c:v>
                </c:pt>
                <c:pt idx="51">
                  <c:v>161.02099135834354</c:v>
                </c:pt>
                <c:pt idx="52">
                  <c:v>160.07513683059548</c:v>
                </c:pt>
                <c:pt idx="53">
                  <c:v>162.00741723570079</c:v>
                </c:pt>
                <c:pt idx="54">
                  <c:v>161.81554469780747</c:v>
                </c:pt>
                <c:pt idx="55">
                  <c:v>160.34495867032803</c:v>
                </c:pt>
                <c:pt idx="56">
                  <c:v>160.62860582425955</c:v>
                </c:pt>
                <c:pt idx="57">
                  <c:v>161.35145099316995</c:v>
                </c:pt>
                <c:pt idx="58">
                  <c:v>162.71443417944511</c:v>
                </c:pt>
                <c:pt idx="59">
                  <c:v>165.85369187646873</c:v>
                </c:pt>
                <c:pt idx="60">
                  <c:v>167.93899469611532</c:v>
                </c:pt>
                <c:pt idx="61">
                  <c:v>167.23975159400226</c:v>
                </c:pt>
                <c:pt idx="62">
                  <c:v>166.96006492199334</c:v>
                </c:pt>
                <c:pt idx="63">
                  <c:v>168.04850010424227</c:v>
                </c:pt>
                <c:pt idx="64">
                  <c:v>167.92110066485063</c:v>
                </c:pt>
                <c:pt idx="65">
                  <c:v>167.52280314879633</c:v>
                </c:pt>
                <c:pt idx="66">
                  <c:v>170.25213543427745</c:v>
                </c:pt>
                <c:pt idx="67">
                  <c:v>170.71460019594923</c:v>
                </c:pt>
                <c:pt idx="68">
                  <c:v>174.64122013484658</c:v>
                </c:pt>
                <c:pt idx="69">
                  <c:v>176.46805863581761</c:v>
                </c:pt>
                <c:pt idx="70">
                  <c:v>180.32876794844313</c:v>
                </c:pt>
                <c:pt idx="71">
                  <c:v>183.72306129651534</c:v>
                </c:pt>
                <c:pt idx="72">
                  <c:v>187.90196930814773</c:v>
                </c:pt>
                <c:pt idx="73">
                  <c:v>187.85312072179525</c:v>
                </c:pt>
                <c:pt idx="74">
                  <c:v>185.06158735738819</c:v>
                </c:pt>
                <c:pt idx="75">
                  <c:v>184.84763931924584</c:v>
                </c:pt>
                <c:pt idx="76">
                  <c:v>188.78793559024635</c:v>
                </c:pt>
                <c:pt idx="77">
                  <c:v>190.30020584276559</c:v>
                </c:pt>
                <c:pt idx="78">
                  <c:v>193.70262344639551</c:v>
                </c:pt>
                <c:pt idx="79">
                  <c:v>193.11117926648717</c:v>
                </c:pt>
                <c:pt idx="80">
                  <c:v>193.94364874197052</c:v>
                </c:pt>
                <c:pt idx="81">
                  <c:v>197.57772728527132</c:v>
                </c:pt>
                <c:pt idx="82">
                  <c:v>200.71052431113236</c:v>
                </c:pt>
                <c:pt idx="83">
                  <c:v>205.1711849291338</c:v>
                </c:pt>
                <c:pt idx="84">
                  <c:v>211.85834590590829</c:v>
                </c:pt>
                <c:pt idx="85">
                  <c:v>212.15722563031639</c:v>
                </c:pt>
                <c:pt idx="86">
                  <c:v>212.66087497002363</c:v>
                </c:pt>
                <c:pt idx="87">
                  <c:v>214.14748032845816</c:v>
                </c:pt>
                <c:pt idx="88">
                  <c:v>214.92248676690977</c:v>
                </c:pt>
                <c:pt idx="89">
                  <c:v>215.11519921180036</c:v>
                </c:pt>
                <c:pt idx="90">
                  <c:v>221.13178893740186</c:v>
                </c:pt>
                <c:pt idx="91">
                  <c:v>220.94868534316149</c:v>
                </c:pt>
                <c:pt idx="92">
                  <c:v>223.59817279914316</c:v>
                </c:pt>
                <c:pt idx="93">
                  <c:v>222.87921365336732</c:v>
                </c:pt>
                <c:pt idx="94">
                  <c:v>227.26122727560087</c:v>
                </c:pt>
                <c:pt idx="95">
                  <c:v>231.37471866297352</c:v>
                </c:pt>
                <c:pt idx="96">
                  <c:v>235.61056979134759</c:v>
                </c:pt>
                <c:pt idx="97">
                  <c:v>232.79382449982603</c:v>
                </c:pt>
                <c:pt idx="98">
                  <c:v>239.10298272895994</c:v>
                </c:pt>
                <c:pt idx="99">
                  <c:v>240.53386884821333</c:v>
                </c:pt>
                <c:pt idx="100">
                  <c:v>244.33007066946973</c:v>
                </c:pt>
                <c:pt idx="101">
                  <c:v>243.53629872899899</c:v>
                </c:pt>
                <c:pt idx="102">
                  <c:v>247.68417884075851</c:v>
                </c:pt>
                <c:pt idx="103">
                  <c:v>249.55623764427099</c:v>
                </c:pt>
                <c:pt idx="104">
                  <c:v>252.07421555309259</c:v>
                </c:pt>
                <c:pt idx="105">
                  <c:v>255.83491038485766</c:v>
                </c:pt>
                <c:pt idx="106">
                  <c:v>260.31817701644763</c:v>
                </c:pt>
                <c:pt idx="107">
                  <c:v>266.80301068505986</c:v>
                </c:pt>
                <c:pt idx="108">
                  <c:v>268.36650977860984</c:v>
                </c:pt>
                <c:pt idx="109">
                  <c:v>269.0480862450932</c:v>
                </c:pt>
                <c:pt idx="110">
                  <c:v>267.36630236281871</c:v>
                </c:pt>
                <c:pt idx="111">
                  <c:v>266.34211587445628</c:v>
                </c:pt>
                <c:pt idx="112">
                  <c:v>271.21509391975434</c:v>
                </c:pt>
                <c:pt idx="113">
                  <c:v>270.01942732902211</c:v>
                </c:pt>
                <c:pt idx="114">
                  <c:v>276.04457982841183</c:v>
                </c:pt>
                <c:pt idx="115">
                  <c:v>275.23238567502739</c:v>
                </c:pt>
                <c:pt idx="116">
                  <c:v>278.6060506040418</c:v>
                </c:pt>
                <c:pt idx="117">
                  <c:v>284.37701172377456</c:v>
                </c:pt>
                <c:pt idx="118">
                  <c:v>288.21411159405648</c:v>
                </c:pt>
                <c:pt idx="119">
                  <c:v>295.88193353791155</c:v>
                </c:pt>
                <c:pt idx="120">
                  <c:v>297.37498779907736</c:v>
                </c:pt>
                <c:pt idx="121">
                  <c:v>301.89452682251465</c:v>
                </c:pt>
                <c:pt idx="122">
                  <c:v>302.7610108009049</c:v>
                </c:pt>
                <c:pt idx="123">
                  <c:v>300.61276104756092</c:v>
                </c:pt>
                <c:pt idx="124">
                  <c:v>301.36485903347545</c:v>
                </c:pt>
                <c:pt idx="125">
                  <c:v>301.09447832277095</c:v>
                </c:pt>
                <c:pt idx="126">
                  <c:v>305.91145568336736</c:v>
                </c:pt>
                <c:pt idx="127">
                  <c:v>304.19346445827614</c:v>
                </c:pt>
                <c:pt idx="128">
                  <c:v>304.56771362716506</c:v>
                </c:pt>
                <c:pt idx="129">
                  <c:v>304.27837908513038</c:v>
                </c:pt>
                <c:pt idx="130">
                  <c:v>310.18732037207627</c:v>
                </c:pt>
                <c:pt idx="131">
                  <c:v>315.4109203264984</c:v>
                </c:pt>
                <c:pt idx="132">
                  <c:v>314.49302822619904</c:v>
                </c:pt>
                <c:pt idx="133">
                  <c:v>317.84350206825036</c:v>
                </c:pt>
                <c:pt idx="134">
                  <c:v>317.06163421363851</c:v>
                </c:pt>
                <c:pt idx="135">
                  <c:v>316.36519782929315</c:v>
                </c:pt>
                <c:pt idx="136">
                  <c:v>319.22043993982481</c:v>
                </c:pt>
                <c:pt idx="137">
                  <c:v>315.16928818158289</c:v>
                </c:pt>
                <c:pt idx="138">
                  <c:v>324.45056071364803</c:v>
                </c:pt>
                <c:pt idx="139">
                  <c:v>328.15414276864675</c:v>
                </c:pt>
                <c:pt idx="140">
                  <c:v>331.80031680448064</c:v>
                </c:pt>
                <c:pt idx="141">
                  <c:v>336.42852830037646</c:v>
                </c:pt>
                <c:pt idx="142">
                  <c:v>342.68831193935711</c:v>
                </c:pt>
                <c:pt idx="143">
                  <c:v>347.56916226754032</c:v>
                </c:pt>
                <c:pt idx="144">
                  <c:v>351.99349363403286</c:v>
                </c:pt>
                <c:pt idx="145">
                  <c:v>356.26282282864867</c:v>
                </c:pt>
                <c:pt idx="146">
                  <c:v>360.57738113577898</c:v>
                </c:pt>
                <c:pt idx="147">
                  <c:v>366.97423647190368</c:v>
                </c:pt>
                <c:pt idx="148">
                  <c:v>368.44450974533703</c:v>
                </c:pt>
                <c:pt idx="149">
                  <c:v>369.86594314712767</c:v>
                </c:pt>
                <c:pt idx="150">
                  <c:v>377.37566490121026</c:v>
                </c:pt>
                <c:pt idx="151">
                  <c:v>378.60696663375614</c:v>
                </c:pt>
                <c:pt idx="152">
                  <c:v>388.15877001560079</c:v>
                </c:pt>
                <c:pt idx="153">
                  <c:v>394.46372929620651</c:v>
                </c:pt>
                <c:pt idx="154">
                  <c:v>396.61097091315406</c:v>
                </c:pt>
                <c:pt idx="155">
                  <c:v>408.39013188535711</c:v>
                </c:pt>
                <c:pt idx="156">
                  <c:v>410.96360166891623</c:v>
                </c:pt>
                <c:pt idx="157">
                  <c:v>407.56902375129334</c:v>
                </c:pt>
                <c:pt idx="158">
                  <c:v>410.94323446559508</c:v>
                </c:pt>
                <c:pt idx="159">
                  <c:v>415.21495892155758</c:v>
                </c:pt>
                <c:pt idx="160">
                  <c:v>416.81770732357694</c:v>
                </c:pt>
                <c:pt idx="161">
                  <c:v>418.38971120416437</c:v>
                </c:pt>
                <c:pt idx="162">
                  <c:v>428.27425885937834</c:v>
                </c:pt>
                <c:pt idx="163">
                  <c:v>429.10353458753974</c:v>
                </c:pt>
                <c:pt idx="164">
                  <c:v>433.25080568900779</c:v>
                </c:pt>
                <c:pt idx="165">
                  <c:v>444.14206015671186</c:v>
                </c:pt>
                <c:pt idx="166">
                  <c:v>446.86539883077978</c:v>
                </c:pt>
                <c:pt idx="167">
                  <c:v>449.28608772288106</c:v>
                </c:pt>
                <c:pt idx="168">
                  <c:v>459.28521971045581</c:v>
                </c:pt>
                <c:pt idx="169">
                  <c:v>458.81846229000928</c:v>
                </c:pt>
                <c:pt idx="170">
                  <c:v>461.97912524827706</c:v>
                </c:pt>
                <c:pt idx="171">
                  <c:v>469.1978021371624</c:v>
                </c:pt>
                <c:pt idx="172">
                  <c:v>474.81645730078372</c:v>
                </c:pt>
                <c:pt idx="173">
                  <c:v>481.81952612301126</c:v>
                </c:pt>
                <c:pt idx="174">
                  <c:v>485.87363973103783</c:v>
                </c:pt>
                <c:pt idx="175">
                  <c:v>489.37849326235124</c:v>
                </c:pt>
                <c:pt idx="176">
                  <c:v>496.98781279825624</c:v>
                </c:pt>
                <c:pt idx="177">
                  <c:v>499.6181424589297</c:v>
                </c:pt>
                <c:pt idx="178">
                  <c:v>506.8022415201562</c:v>
                </c:pt>
                <c:pt idx="179">
                  <c:v>513.79228666561505</c:v>
                </c:pt>
                <c:pt idx="180">
                  <c:v>514.85411744733801</c:v>
                </c:pt>
                <c:pt idx="181">
                  <c:v>513.39835663501174</c:v>
                </c:pt>
                <c:pt idx="182">
                  <c:v>523.7058652958242</c:v>
                </c:pt>
                <c:pt idx="183">
                  <c:v>526.80990314537746</c:v>
                </c:pt>
                <c:pt idx="184">
                  <c:v>529.31185499020535</c:v>
                </c:pt>
                <c:pt idx="185">
                  <c:v>527.26584143372895</c:v>
                </c:pt>
                <c:pt idx="186">
                  <c:v>527.55921321418771</c:v>
                </c:pt>
                <c:pt idx="187">
                  <c:v>528.70964665867461</c:v>
                </c:pt>
                <c:pt idx="188">
                  <c:v>536.41992618580366</c:v>
                </c:pt>
                <c:pt idx="189">
                  <c:v>537.75168243675682</c:v>
                </c:pt>
                <c:pt idx="190">
                  <c:v>544.21844223626101</c:v>
                </c:pt>
                <c:pt idx="191">
                  <c:v>559.91915020849024</c:v>
                </c:pt>
                <c:pt idx="192">
                  <c:v>560.48867894863588</c:v>
                </c:pt>
                <c:pt idx="193">
                  <c:v>567.7908821962186</c:v>
                </c:pt>
                <c:pt idx="194">
                  <c:v>573.78991569680659</c:v>
                </c:pt>
                <c:pt idx="195">
                  <c:v>577.96567228072388</c:v>
                </c:pt>
                <c:pt idx="196">
                  <c:v>578.92283539421533</c:v>
                </c:pt>
                <c:pt idx="197">
                  <c:v>578.51652391448704</c:v>
                </c:pt>
                <c:pt idx="198">
                  <c:v>581.30054736983857</c:v>
                </c:pt>
                <c:pt idx="199">
                  <c:v>591.74425925277774</c:v>
                </c:pt>
                <c:pt idx="200">
                  <c:v>605.18184587639723</c:v>
                </c:pt>
                <c:pt idx="201">
                  <c:v>602.54618562254905</c:v>
                </c:pt>
                <c:pt idx="202">
                  <c:v>604.30666201038912</c:v>
                </c:pt>
                <c:pt idx="203">
                  <c:v>609.79335677236872</c:v>
                </c:pt>
                <c:pt idx="204">
                  <c:v>610.00612253542852</c:v>
                </c:pt>
                <c:pt idx="205">
                  <c:v>608.21171429677486</c:v>
                </c:pt>
                <c:pt idx="206">
                  <c:v>612.90730291528553</c:v>
                </c:pt>
                <c:pt idx="207">
                  <c:v>609.3423292152097</c:v>
                </c:pt>
                <c:pt idx="208">
                  <c:v>612.61129457959771</c:v>
                </c:pt>
                <c:pt idx="209">
                  <c:v>612.68912455750387</c:v>
                </c:pt>
                <c:pt idx="210">
                  <c:v>604.54313526662077</c:v>
                </c:pt>
                <c:pt idx="211">
                  <c:v>604.96800434137481</c:v>
                </c:pt>
                <c:pt idx="212">
                  <c:v>606.80663261525513</c:v>
                </c:pt>
                <c:pt idx="213">
                  <c:v>605.55077741641287</c:v>
                </c:pt>
                <c:pt idx="214">
                  <c:v>600.40145806120211</c:v>
                </c:pt>
                <c:pt idx="215">
                  <c:v>612.5920575146456</c:v>
                </c:pt>
                <c:pt idx="216">
                  <c:v>605.77308669232275</c:v>
                </c:pt>
                <c:pt idx="217">
                  <c:v>602.27025244810818</c:v>
                </c:pt>
                <c:pt idx="218">
                  <c:v>598.42280462480676</c:v>
                </c:pt>
                <c:pt idx="219">
                  <c:v>600.81445798671291</c:v>
                </c:pt>
                <c:pt idx="220">
                  <c:v>600.97856325719454</c:v>
                </c:pt>
                <c:pt idx="221">
                  <c:v>602.6725696289227</c:v>
                </c:pt>
                <c:pt idx="222">
                  <c:v>606.50004481633687</c:v>
                </c:pt>
                <c:pt idx="223">
                  <c:v>608.04763803958133</c:v>
                </c:pt>
                <c:pt idx="224">
                  <c:v>606.99908039774743</c:v>
                </c:pt>
                <c:pt idx="225">
                  <c:v>604.93254953616326</c:v>
                </c:pt>
                <c:pt idx="226">
                  <c:v>608.01956011766026</c:v>
                </c:pt>
                <c:pt idx="227">
                  <c:v>613.9540524048208</c:v>
                </c:pt>
                <c:pt idx="228">
                  <c:v>610.93597046699949</c:v>
                </c:pt>
                <c:pt idx="229">
                  <c:v>607.14516813343596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6D-45FF-823C-224BD0DF0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53776"/>
        <c:axId val="248894896"/>
      </c:lineChart>
      <c:lineChart>
        <c:grouping val="standard"/>
        <c:varyColors val="0"/>
        <c:ser>
          <c:idx val="1"/>
          <c:order val="1"/>
          <c:tx>
            <c:strRef>
              <c:f>'G2.1'!$C$2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'G2.1'!$A$3:$A$500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'G2.1'!$C$3:$C$500</c:f>
              <c:numCache>
                <c:formatCode>0.00</c:formatCode>
                <c:ptCount val="498"/>
                <c:pt idx="12">
                  <c:v>-8.4589000546418056</c:v>
                </c:pt>
                <c:pt idx="13">
                  <c:v>-8.4176678507107852</c:v>
                </c:pt>
                <c:pt idx="14">
                  <c:v>-11.764241704963608</c:v>
                </c:pt>
                <c:pt idx="15">
                  <c:v>-10.91995653223009</c:v>
                </c:pt>
                <c:pt idx="16">
                  <c:v>-10.532234058257661</c:v>
                </c:pt>
                <c:pt idx="17">
                  <c:v>-9.1471318542375784</c:v>
                </c:pt>
                <c:pt idx="18">
                  <c:v>-9.0611204792851225</c:v>
                </c:pt>
                <c:pt idx="19">
                  <c:v>-9.1463753248365087</c:v>
                </c:pt>
                <c:pt idx="20">
                  <c:v>-10.994981483133603</c:v>
                </c:pt>
                <c:pt idx="21">
                  <c:v>-12.398379727076158</c:v>
                </c:pt>
                <c:pt idx="22">
                  <c:v>-10.350006790034715</c:v>
                </c:pt>
                <c:pt idx="23">
                  <c:v>-10.409910579472204</c:v>
                </c:pt>
                <c:pt idx="24">
                  <c:v>-8.9941192341422393</c:v>
                </c:pt>
                <c:pt idx="25">
                  <c:v>-9.6336560304701617</c:v>
                </c:pt>
                <c:pt idx="26">
                  <c:v>-6.0486829188439728</c:v>
                </c:pt>
                <c:pt idx="27">
                  <c:v>-5.7751286424830406</c:v>
                </c:pt>
                <c:pt idx="28">
                  <c:v>-5.7237761395857012</c:v>
                </c:pt>
                <c:pt idx="29">
                  <c:v>-5.2992774562010787</c:v>
                </c:pt>
                <c:pt idx="30">
                  <c:v>-4.0468858708984872</c:v>
                </c:pt>
                <c:pt idx="31">
                  <c:v>-4.3788387618219682</c:v>
                </c:pt>
                <c:pt idx="32">
                  <c:v>-3.3843344923250585</c:v>
                </c:pt>
                <c:pt idx="33">
                  <c:v>-2.4593468676936903</c:v>
                </c:pt>
                <c:pt idx="34">
                  <c:v>-2.6093337684622298</c:v>
                </c:pt>
                <c:pt idx="35">
                  <c:v>-0.72380908059205273</c:v>
                </c:pt>
                <c:pt idx="36">
                  <c:v>-1.0262702106790478</c:v>
                </c:pt>
                <c:pt idx="37">
                  <c:v>-1.8896535383892799</c:v>
                </c:pt>
                <c:pt idx="38">
                  <c:v>0.12289949665100774</c:v>
                </c:pt>
                <c:pt idx="39">
                  <c:v>0.74689611693052882</c:v>
                </c:pt>
                <c:pt idx="40">
                  <c:v>1.4429109512965832</c:v>
                </c:pt>
                <c:pt idx="41">
                  <c:v>1.2150215879254578</c:v>
                </c:pt>
                <c:pt idx="42">
                  <c:v>1.0520792502607623</c:v>
                </c:pt>
                <c:pt idx="43">
                  <c:v>1.9887799751409974</c:v>
                </c:pt>
                <c:pt idx="44">
                  <c:v>2.3228684505386843</c:v>
                </c:pt>
                <c:pt idx="45">
                  <c:v>1.9857247654984755</c:v>
                </c:pt>
                <c:pt idx="46">
                  <c:v>0.52715696343705876</c:v>
                </c:pt>
                <c:pt idx="47">
                  <c:v>0.15545172910860217</c:v>
                </c:pt>
                <c:pt idx="48">
                  <c:v>0.50609675643902285</c:v>
                </c:pt>
                <c:pt idx="49">
                  <c:v>1.5679549498397893</c:v>
                </c:pt>
                <c:pt idx="50">
                  <c:v>1.612827176667242</c:v>
                </c:pt>
                <c:pt idx="51">
                  <c:v>1.3254989844690312</c:v>
                </c:pt>
                <c:pt idx="52">
                  <c:v>0.13712029528025749</c:v>
                </c:pt>
                <c:pt idx="53">
                  <c:v>1.6364902844041129</c:v>
                </c:pt>
                <c:pt idx="54">
                  <c:v>1.2278363990252394</c:v>
                </c:pt>
                <c:pt idx="55">
                  <c:v>0.11781803522261658</c:v>
                </c:pt>
                <c:pt idx="56">
                  <c:v>-7.8536849956556409E-2</c:v>
                </c:pt>
                <c:pt idx="57">
                  <c:v>-0.1303234607128223</c:v>
                </c:pt>
                <c:pt idx="58">
                  <c:v>1.5257445856496687</c:v>
                </c:pt>
                <c:pt idx="59">
                  <c:v>1.6134561371658585</c:v>
                </c:pt>
                <c:pt idx="60">
                  <c:v>2.2334626048358341</c:v>
                </c:pt>
                <c:pt idx="61">
                  <c:v>2.7467387582542191</c:v>
                </c:pt>
                <c:pt idx="62">
                  <c:v>2.7165141223028488</c:v>
                </c:pt>
                <c:pt idx="63">
                  <c:v>4.364343236627688</c:v>
                </c:pt>
                <c:pt idx="64">
                  <c:v>4.9014256614744456</c:v>
                </c:pt>
                <c:pt idx="65">
                  <c:v>3.404403333627215</c:v>
                </c:pt>
                <c:pt idx="66">
                  <c:v>5.2137084556526547</c:v>
                </c:pt>
                <c:pt idx="67">
                  <c:v>6.467082976360583</c:v>
                </c:pt>
                <c:pt idx="68">
                  <c:v>8.7236107408651407</c:v>
                </c:pt>
                <c:pt idx="69">
                  <c:v>9.3687460196980599</c:v>
                </c:pt>
                <c:pt idx="70">
                  <c:v>10.825304993884277</c:v>
                </c:pt>
                <c:pt idx="71">
                  <c:v>10.774176455086737</c:v>
                </c:pt>
                <c:pt idx="72">
                  <c:v>11.88703948606773</c:v>
                </c:pt>
                <c:pt idx="73">
                  <c:v>12.325639646867458</c:v>
                </c:pt>
                <c:pt idx="74">
                  <c:v>10.841827621384903</c:v>
                </c:pt>
                <c:pt idx="75">
                  <c:v>9.9966016980710393</c:v>
                </c:pt>
                <c:pt idx="76">
                  <c:v>12.426571075807381</c:v>
                </c:pt>
                <c:pt idx="77">
                  <c:v>13.596598353083934</c:v>
                </c:pt>
                <c:pt idx="78">
                  <c:v>13.773975846059594</c:v>
                </c:pt>
                <c:pt idx="79">
                  <c:v>13.119310852634026</c:v>
                </c:pt>
                <c:pt idx="80">
                  <c:v>11.052618959155147</c:v>
                </c:pt>
                <c:pt idx="81">
                  <c:v>11.96231704062567</c:v>
                </c:pt>
                <c:pt idx="82">
                  <c:v>11.302553993224462</c:v>
                </c:pt>
                <c:pt idx="83">
                  <c:v>11.674159727832301</c:v>
                </c:pt>
                <c:pt idx="84">
                  <c:v>12.74940155548534</c:v>
                </c:pt>
                <c:pt idx="85">
                  <c:v>12.93782334578022</c:v>
                </c:pt>
                <c:pt idx="86">
                  <c:v>14.913569048414189</c:v>
                </c:pt>
                <c:pt idx="87">
                  <c:v>15.850806165075927</c:v>
                </c:pt>
                <c:pt idx="88">
                  <c:v>13.843337549591617</c:v>
                </c:pt>
                <c:pt idx="89">
                  <c:v>13.039919352235497</c:v>
                </c:pt>
                <c:pt idx="90">
                  <c:v>14.160451212782355</c:v>
                </c:pt>
                <c:pt idx="91">
                  <c:v>14.415274238608134</c:v>
                </c:pt>
                <c:pt idx="92">
                  <c:v>15.290278516223065</c:v>
                </c:pt>
                <c:pt idx="93">
                  <c:v>12.805839360407557</c:v>
                </c:pt>
                <c:pt idx="94">
                  <c:v>13.22835613906863</c:v>
                </c:pt>
                <c:pt idx="95">
                  <c:v>12.771546717386473</c:v>
                </c:pt>
                <c:pt idx="96">
                  <c:v>11.211370401234166</c:v>
                </c:pt>
                <c:pt idx="97">
                  <c:v>9.7270308886244994</c:v>
                </c:pt>
                <c:pt idx="98">
                  <c:v>12.433931611850824</c:v>
                </c:pt>
                <c:pt idx="99">
                  <c:v>12.321596536781044</c:v>
                </c:pt>
                <c:pt idx="100">
                  <c:v>13.682879043947317</c:v>
                </c:pt>
                <c:pt idx="101">
                  <c:v>13.212036909216952</c:v>
                </c:pt>
                <c:pt idx="102">
                  <c:v>12.007495634593312</c:v>
                </c:pt>
                <c:pt idx="103">
                  <c:v>12.947600143752069</c:v>
                </c:pt>
                <c:pt idx="104">
                  <c:v>12.73536469348937</c:v>
                </c:pt>
                <c:pt idx="105">
                  <c:v>14.786348260697224</c:v>
                </c:pt>
                <c:pt idx="106">
                  <c:v>14.545793902960158</c:v>
                </c:pt>
                <c:pt idx="107">
                  <c:v>15.31208432226865</c:v>
                </c:pt>
                <c:pt idx="108">
                  <c:v>13.902576618812269</c:v>
                </c:pt>
                <c:pt idx="109">
                  <c:v>15.573549609042248</c:v>
                </c:pt>
                <c:pt idx="110">
                  <c:v>11.820563387072935</c:v>
                </c:pt>
                <c:pt idx="111">
                  <c:v>10.729568833621927</c:v>
                </c:pt>
                <c:pt idx="112">
                  <c:v>11.003567091279054</c:v>
                </c:pt>
                <c:pt idx="113">
                  <c:v>10.874407116408079</c:v>
                </c:pt>
                <c:pt idx="114">
                  <c:v>11.450227107919897</c:v>
                </c:pt>
                <c:pt idx="115">
                  <c:v>10.288722202711021</c:v>
                </c:pt>
                <c:pt idx="116">
                  <c:v>10.525406175611396</c:v>
                </c:pt>
                <c:pt idx="117">
                  <c:v>11.156452923481176</c:v>
                </c:pt>
                <c:pt idx="118">
                  <c:v>10.716091706437503</c:v>
                </c:pt>
                <c:pt idx="119">
                  <c:v>10.899023507338557</c:v>
                </c:pt>
                <c:pt idx="120">
                  <c:v>10.809276479542174</c:v>
                </c:pt>
                <c:pt idx="121">
                  <c:v>12.208390342349261</c:v>
                </c:pt>
                <c:pt idx="122">
                  <c:v>13.238283256075857</c:v>
                </c:pt>
                <c:pt idx="123">
                  <c:v>12.867152106450398</c:v>
                </c:pt>
                <c:pt idx="124">
                  <c:v>11.116551323888224</c:v>
                </c:pt>
                <c:pt idx="125">
                  <c:v>11.508450077513688</c:v>
                </c:pt>
                <c:pt idx="126">
                  <c:v>10.819584240168979</c:v>
                </c:pt>
                <c:pt idx="127">
                  <c:v>10.522409531211085</c:v>
                </c:pt>
                <c:pt idx="128">
                  <c:v>9.3184132099199513</c:v>
                </c:pt>
                <c:pt idx="129">
                  <c:v>6.9982335213110369</c:v>
                </c:pt>
                <c:pt idx="130">
                  <c:v>7.6239184321996722</c:v>
                </c:pt>
                <c:pt idx="131">
                  <c:v>6.60026333986512</c:v>
                </c:pt>
                <c:pt idx="132">
                  <c:v>5.7563820527796183</c:v>
                </c:pt>
                <c:pt idx="133">
                  <c:v>5.2829627001194979</c:v>
                </c:pt>
                <c:pt idx="134">
                  <c:v>4.7234032463108866</c:v>
                </c:pt>
                <c:pt idx="135">
                  <c:v>5.2401091446813153</c:v>
                </c:pt>
                <c:pt idx="136">
                  <c:v>5.9249047694595269</c:v>
                </c:pt>
                <c:pt idx="137">
                  <c:v>4.6745493099756619</c:v>
                </c:pt>
                <c:pt idx="138">
                  <c:v>6.0602846627193729</c:v>
                </c:pt>
                <c:pt idx="139">
                  <c:v>7.8767893166413305</c:v>
                </c:pt>
                <c:pt idx="140">
                  <c:v>8.9413952821841836</c:v>
                </c:pt>
                <c:pt idx="141">
                  <c:v>10.566031445254676</c:v>
                </c:pt>
                <c:pt idx="142">
                  <c:v>10.477859484486739</c:v>
                </c:pt>
                <c:pt idx="143">
                  <c:v>10.19566535862273</c:v>
                </c:pt>
                <c:pt idx="144">
                  <c:v>11.924100708795882</c:v>
                </c:pt>
                <c:pt idx="145">
                  <c:v>12.087496050854774</c:v>
                </c:pt>
                <c:pt idx="146">
                  <c:v>13.724696471102904</c:v>
                </c:pt>
                <c:pt idx="147">
                  <c:v>15.997030959745008</c:v>
                </c:pt>
                <c:pt idx="148">
                  <c:v>15.420087076752132</c:v>
                </c:pt>
                <c:pt idx="149">
                  <c:v>17.354690642963799</c:v>
                </c:pt>
                <c:pt idx="150">
                  <c:v>16.31222460246342</c:v>
                </c:pt>
                <c:pt idx="151">
                  <c:v>15.374733178571919</c:v>
                </c:pt>
                <c:pt idx="152">
                  <c:v>16.985653827549065</c:v>
                </c:pt>
                <c:pt idx="153">
                  <c:v>17.250380426719936</c:v>
                </c:pt>
                <c:pt idx="154">
                  <c:v>15.735190578469238</c:v>
                </c:pt>
                <c:pt idx="155">
                  <c:v>17.498954516281295</c:v>
                </c:pt>
                <c:pt idx="156">
                  <c:v>16.753181266524919</c:v>
                </c:pt>
                <c:pt idx="157">
                  <c:v>14.401222253639801</c:v>
                </c:pt>
                <c:pt idx="158">
                  <c:v>13.968112245745768</c:v>
                </c:pt>
                <c:pt idx="159">
                  <c:v>13.145533842768087</c:v>
                </c:pt>
                <c:pt idx="160">
                  <c:v>13.129031997701546</c:v>
                </c:pt>
                <c:pt idx="161">
                  <c:v>13.119285231875111</c:v>
                </c:pt>
                <c:pt idx="162">
                  <c:v>13.487513555356667</c:v>
                </c:pt>
                <c:pt idx="163">
                  <c:v>13.337464020473577</c:v>
                </c:pt>
                <c:pt idx="164">
                  <c:v>11.616905028732095</c:v>
                </c:pt>
                <c:pt idx="165">
                  <c:v>12.593890685245078</c:v>
                </c:pt>
                <c:pt idx="166">
                  <c:v>12.670962631699357</c:v>
                </c:pt>
                <c:pt idx="167">
                  <c:v>10.013943199049734</c:v>
                </c:pt>
                <c:pt idx="168">
                  <c:v>11.758125986171608</c:v>
                </c:pt>
                <c:pt idx="169">
                  <c:v>12.574419436249729</c:v>
                </c:pt>
                <c:pt idx="170">
                  <c:v>12.419206961528605</c:v>
                </c:pt>
                <c:pt idx="171">
                  <c:v>13.00117976380597</c:v>
                </c:pt>
                <c:pt idx="172">
                  <c:v>13.91465596546313</c:v>
                </c:pt>
                <c:pt idx="173">
                  <c:v>15.160462415839525</c:v>
                </c:pt>
                <c:pt idx="174">
                  <c:v>13.449181145059663</c:v>
                </c:pt>
                <c:pt idx="175">
                  <c:v>14.046716891472034</c:v>
                </c:pt>
                <c:pt idx="176">
                  <c:v>14.711341853799009</c:v>
                </c:pt>
                <c:pt idx="177">
                  <c:v>12.490616692020474</c:v>
                </c:pt>
                <c:pt idx="178">
                  <c:v>13.412728496366189</c:v>
                </c:pt>
                <c:pt idx="179">
                  <c:v>14.357488625937886</c:v>
                </c:pt>
                <c:pt idx="180">
                  <c:v>12.098995428573577</c:v>
                </c:pt>
                <c:pt idx="181">
                  <c:v>11.895749371677123</c:v>
                </c:pt>
                <c:pt idx="182">
                  <c:v>13.361369956786229</c:v>
                </c:pt>
                <c:pt idx="183">
                  <c:v>12.278851423812309</c:v>
                </c:pt>
                <c:pt idx="184">
                  <c:v>11.477150139069469</c:v>
                </c:pt>
                <c:pt idx="185">
                  <c:v>9.432227804548333</c:v>
                </c:pt>
                <c:pt idx="186">
                  <c:v>8.5795091716079686</c:v>
                </c:pt>
                <c:pt idx="187">
                  <c:v>8.0369599273007566</c:v>
                </c:pt>
                <c:pt idx="188">
                  <c:v>7.9342213978100595</c:v>
                </c:pt>
                <c:pt idx="189">
                  <c:v>7.6325370792478475</c:v>
                </c:pt>
                <c:pt idx="190">
                  <c:v>7.3828009528676741</c:v>
                </c:pt>
                <c:pt idx="191">
                  <c:v>8.9777259682559887</c:v>
                </c:pt>
                <c:pt idx="192">
                  <c:v>8.863590666722331</c:v>
                </c:pt>
                <c:pt idx="193">
                  <c:v>10.59460453237795</c:v>
                </c:pt>
                <c:pt idx="194">
                  <c:v>9.5633930646721979</c:v>
                </c:pt>
                <c:pt idx="195">
                  <c:v>9.7104797821595987</c:v>
                </c:pt>
                <c:pt idx="196">
                  <c:v>9.3727317716940206</c:v>
                </c:pt>
                <c:pt idx="197">
                  <c:v>9.7200839601895073</c:v>
                </c:pt>
                <c:pt idx="198">
                  <c:v>10.186787152901445</c:v>
                </c:pt>
                <c:pt idx="199">
                  <c:v>11.92234962847143</c:v>
                </c:pt>
                <c:pt idx="200">
                  <c:v>12.818673642406054</c:v>
                </c:pt>
                <c:pt idx="201">
                  <c:v>12.049149319660657</c:v>
                </c:pt>
                <c:pt idx="202">
                  <c:v>11.041195062632969</c:v>
                </c:pt>
                <c:pt idx="203">
                  <c:v>8.9073943167165215</c:v>
                </c:pt>
                <c:pt idx="204">
                  <c:v>8.8346911269782336</c:v>
                </c:pt>
                <c:pt idx="205">
                  <c:v>7.1189646343400526</c:v>
                </c:pt>
                <c:pt idx="206">
                  <c:v>6.8173709834155938</c:v>
                </c:pt>
                <c:pt idx="207">
                  <c:v>5.4288097787312584</c:v>
                </c:pt>
                <c:pt idx="208">
                  <c:v>5.8191622658039233</c:v>
                </c:pt>
                <c:pt idx="209">
                  <c:v>5.9069359699167379</c:v>
                </c:pt>
                <c:pt idx="210">
                  <c:v>3.998377087712357</c:v>
                </c:pt>
                <c:pt idx="211">
                  <c:v>2.2347061051839034</c:v>
                </c:pt>
                <c:pt idx="212">
                  <c:v>0.26847909432989869</c:v>
                </c:pt>
                <c:pt idx="213">
                  <c:v>0.49864920989575179</c:v>
                </c:pt>
                <c:pt idx="214">
                  <c:v>-0.64622884285195914</c:v>
                </c:pt>
                <c:pt idx="215">
                  <c:v>0.45895887700226901</c:v>
                </c:pt>
                <c:pt idx="216">
                  <c:v>-0.69393333717890915</c:v>
                </c:pt>
                <c:pt idx="217">
                  <c:v>-0.97687395836107971</c:v>
                </c:pt>
                <c:pt idx="218">
                  <c:v>-2.3632445267960489</c:v>
                </c:pt>
                <c:pt idx="219">
                  <c:v>-1.3995205682625245</c:v>
                </c:pt>
                <c:pt idx="220">
                  <c:v>-1.8988764042272677</c:v>
                </c:pt>
                <c:pt idx="221">
                  <c:v>-1.6348511059038784</c:v>
                </c:pt>
                <c:pt idx="222">
                  <c:v>0.32370056585839801</c:v>
                </c:pt>
                <c:pt idx="223">
                  <c:v>0.50905728503101155</c:v>
                </c:pt>
                <c:pt idx="224">
                  <c:v>3.1714844919039642E-2</c:v>
                </c:pt>
                <c:pt idx="225">
                  <c:v>-0.1020934830415543</c:v>
                </c:pt>
                <c:pt idx="226">
                  <c:v>1.2688347028766866</c:v>
                </c:pt>
                <c:pt idx="227">
                  <c:v>0.22233309646568777</c:v>
                </c:pt>
                <c:pt idx="228">
                  <c:v>0.85228015045490935</c:v>
                </c:pt>
                <c:pt idx="229">
                  <c:v>0.80942328888271575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6D-45FF-823C-224BD0DF0805}"/>
            </c:ext>
          </c:extLst>
        </c:ser>
        <c:ser>
          <c:idx val="2"/>
          <c:order val="2"/>
          <c:tx>
            <c:v>Crecimiento Promedio últimos 5 años (eje derecho)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val>
            <c:numRef>
              <c:f>'G2.1'!$D$3:$D$500</c:f>
              <c:numCache>
                <c:formatCode>0.0</c:formatCode>
                <c:ptCount val="498"/>
                <c:pt idx="23" formatCode="0.00">
                  <c:v>0</c:v>
                </c:pt>
                <c:pt idx="170" formatCode="0.00">
                  <c:v>7.0414822862438307</c:v>
                </c:pt>
                <c:pt idx="171" formatCode="0.00">
                  <c:v>7.0414822862438307</c:v>
                </c:pt>
                <c:pt idx="172" formatCode="0.00">
                  <c:v>7.0414822862438307</c:v>
                </c:pt>
                <c:pt idx="173" formatCode="0.00">
                  <c:v>7.0414822862438307</c:v>
                </c:pt>
                <c:pt idx="174" formatCode="0.00">
                  <c:v>7.0414822862438307</c:v>
                </c:pt>
                <c:pt idx="175" formatCode="0.00">
                  <c:v>7.0414822862438307</c:v>
                </c:pt>
                <c:pt idx="176" formatCode="0.00">
                  <c:v>7.0414822862438307</c:v>
                </c:pt>
                <c:pt idx="177" formatCode="0.00">
                  <c:v>7.0414822862438307</c:v>
                </c:pt>
                <c:pt idx="178" formatCode="0.00">
                  <c:v>7.0414822862438307</c:v>
                </c:pt>
                <c:pt idx="179" formatCode="0.00">
                  <c:v>7.0414822862438307</c:v>
                </c:pt>
                <c:pt idx="180" formatCode="0.00">
                  <c:v>7.0414822862438307</c:v>
                </c:pt>
                <c:pt idx="181" formatCode="0.00">
                  <c:v>7.0414822862438307</c:v>
                </c:pt>
                <c:pt idx="182" formatCode="0.00">
                  <c:v>7.0414822862438307</c:v>
                </c:pt>
                <c:pt idx="183" formatCode="0.00">
                  <c:v>7.0414822862438307</c:v>
                </c:pt>
                <c:pt idx="184" formatCode="0.00">
                  <c:v>7.0414822862438307</c:v>
                </c:pt>
                <c:pt idx="185" formatCode="0.00">
                  <c:v>7.0414822862438307</c:v>
                </c:pt>
                <c:pt idx="186" formatCode="0.00">
                  <c:v>7.0414822862438307</c:v>
                </c:pt>
                <c:pt idx="187" formatCode="0.00">
                  <c:v>7.0414822862438307</c:v>
                </c:pt>
                <c:pt idx="188" formatCode="0.00">
                  <c:v>7.0414822862438307</c:v>
                </c:pt>
                <c:pt idx="189" formatCode="0.00">
                  <c:v>7.0414822862438307</c:v>
                </c:pt>
                <c:pt idx="190" formatCode="0.00">
                  <c:v>7.0414822862438307</c:v>
                </c:pt>
                <c:pt idx="191" formatCode="0.00">
                  <c:v>7.0414822862438307</c:v>
                </c:pt>
                <c:pt idx="192" formatCode="0.00">
                  <c:v>7.0414822862438307</c:v>
                </c:pt>
                <c:pt idx="193" formatCode="0.00">
                  <c:v>7.0414822862438307</c:v>
                </c:pt>
                <c:pt idx="194" formatCode="0.00">
                  <c:v>7.0414822862438307</c:v>
                </c:pt>
                <c:pt idx="195" formatCode="0.00">
                  <c:v>7.0414822862438307</c:v>
                </c:pt>
                <c:pt idx="196" formatCode="0.00">
                  <c:v>7.0414822862438307</c:v>
                </c:pt>
                <c:pt idx="197" formatCode="0.00">
                  <c:v>7.0414822862438307</c:v>
                </c:pt>
                <c:pt idx="198" formatCode="0.00">
                  <c:v>7.0414822862438307</c:v>
                </c:pt>
                <c:pt idx="199" formatCode="0.00">
                  <c:v>7.0414822862438307</c:v>
                </c:pt>
                <c:pt idx="200" formatCode="0.00">
                  <c:v>7.0414822862438307</c:v>
                </c:pt>
                <c:pt idx="201" formatCode="0.00">
                  <c:v>7.0414822862438307</c:v>
                </c:pt>
                <c:pt idx="202" formatCode="0.00">
                  <c:v>7.0414822862438307</c:v>
                </c:pt>
                <c:pt idx="203" formatCode="0.00">
                  <c:v>7.0414822862438307</c:v>
                </c:pt>
                <c:pt idx="204" formatCode="0.00">
                  <c:v>7.0414822862438307</c:v>
                </c:pt>
                <c:pt idx="205" formatCode="0.00">
                  <c:v>7.0414822862438307</c:v>
                </c:pt>
                <c:pt idx="206" formatCode="0.00">
                  <c:v>7.0414822862438307</c:v>
                </c:pt>
                <c:pt idx="207" formatCode="0.00">
                  <c:v>7.0414822862438307</c:v>
                </c:pt>
                <c:pt idx="208" formatCode="0.00">
                  <c:v>7.0414822862438307</c:v>
                </c:pt>
                <c:pt idx="209" formatCode="0.00">
                  <c:v>7.0414822862438307</c:v>
                </c:pt>
                <c:pt idx="210" formatCode="0.00">
                  <c:v>7.0414822862438307</c:v>
                </c:pt>
                <c:pt idx="211" formatCode="0.00">
                  <c:v>7.0414822862438307</c:v>
                </c:pt>
                <c:pt idx="212" formatCode="0.00">
                  <c:v>7.0414822862438307</c:v>
                </c:pt>
                <c:pt idx="213" formatCode="0.00">
                  <c:v>7.0414822862438307</c:v>
                </c:pt>
                <c:pt idx="214" formatCode="0.00">
                  <c:v>7.0414822862438307</c:v>
                </c:pt>
                <c:pt idx="215" formatCode="0.00">
                  <c:v>7.0414822862438307</c:v>
                </c:pt>
                <c:pt idx="216" formatCode="0.00">
                  <c:v>7.0414822862438307</c:v>
                </c:pt>
                <c:pt idx="217" formatCode="0.00">
                  <c:v>7.0414822862438307</c:v>
                </c:pt>
                <c:pt idx="218" formatCode="0.00">
                  <c:v>7.0414822862438307</c:v>
                </c:pt>
                <c:pt idx="219" formatCode="0.00">
                  <c:v>7.0414822862438307</c:v>
                </c:pt>
                <c:pt idx="220" formatCode="0.00">
                  <c:v>7.0414822862438307</c:v>
                </c:pt>
                <c:pt idx="221" formatCode="0.00">
                  <c:v>7.0414822862438307</c:v>
                </c:pt>
                <c:pt idx="222" formatCode="0.00">
                  <c:v>7.0414822862438307</c:v>
                </c:pt>
                <c:pt idx="223" formatCode="0.00">
                  <c:v>7.0414822862438307</c:v>
                </c:pt>
                <c:pt idx="224" formatCode="0.00">
                  <c:v>7.0414822862438307</c:v>
                </c:pt>
                <c:pt idx="225" formatCode="0.00">
                  <c:v>7.0414822862438307</c:v>
                </c:pt>
                <c:pt idx="226" formatCode="0.00">
                  <c:v>7.0414822862438307</c:v>
                </c:pt>
                <c:pt idx="227" formatCode="0.00">
                  <c:v>7.0414822862438307</c:v>
                </c:pt>
                <c:pt idx="228" formatCode="0.00">
                  <c:v>7.0414822862438307</c:v>
                </c:pt>
                <c:pt idx="229" formatCode="0.00">
                  <c:v>7.0414822862438307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52592"/>
        <c:axId val="248893024"/>
      </c:lineChart>
      <c:dateAx>
        <c:axId val="67553776"/>
        <c:scaling>
          <c:orientation val="minMax"/>
          <c:min val="36526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248894896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48894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(billones de pesos de febrero de 2017) </a:t>
                </a:r>
              </a:p>
            </c:rich>
          </c:tx>
          <c:layout>
            <c:manualLayout>
              <c:xMode val="edge"/>
              <c:yMode val="edge"/>
              <c:x val="0"/>
              <c:y val="1.1830186841036501E-3"/>
            </c:manualLayout>
          </c:layout>
          <c:overlay val="0"/>
        </c:title>
        <c:numFmt formatCode="#,##0" sourceLinked="0"/>
        <c:majorTickMark val="none"/>
        <c:minorTickMark val="in"/>
        <c:tickLblPos val="nextTo"/>
        <c:crossAx val="67553776"/>
        <c:crosses val="autoZero"/>
        <c:crossBetween val="midCat"/>
        <c:minorUnit val="100"/>
      </c:valAx>
      <c:valAx>
        <c:axId val="2488930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(porcentaje)</a:t>
                </a:r>
              </a:p>
            </c:rich>
          </c:tx>
          <c:layout>
            <c:manualLayout>
              <c:xMode val="edge"/>
              <c:yMode val="edge"/>
              <c:x val="0.85805229112362591"/>
              <c:y val="3.6855776737171199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/>
        </c:spPr>
        <c:crossAx val="67552592"/>
        <c:crosses val="max"/>
        <c:crossBetween val="between"/>
      </c:valAx>
      <c:dateAx>
        <c:axId val="67552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48893024"/>
        <c:crossesAt val="-15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6.0846548287746521E-2"/>
          <c:y val="0.77985955252924222"/>
          <c:w val="0.86031288639728176"/>
          <c:h val="0.2196592769106427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769028061836061E-2"/>
          <c:y val="0.12701129659092902"/>
          <c:w val="0.84902752374679247"/>
          <c:h val="0.66058675406690914"/>
        </c:manualLayout>
      </c:layout>
      <c:lineChart>
        <c:grouping val="standard"/>
        <c:varyColors val="0"/>
        <c:ser>
          <c:idx val="0"/>
          <c:order val="0"/>
          <c:tx>
            <c:strRef>
              <c:f>'G2.5B'!$H$2</c:f>
              <c:strCache>
                <c:ptCount val="1"/>
                <c:pt idx="0">
                  <c:v>ROE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24"/>
              <c:layout>
                <c:manualLayout>
                  <c:x val="1.0178117048345908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10,3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8D-40D7-9BBE-8C2625B2803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'G2.5B'!$A$3:$A$501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'G2.5B'!$H$3:$H$501</c:f>
              <c:numCache>
                <c:formatCode>0.0</c:formatCode>
                <c:ptCount val="499"/>
                <c:pt idx="0">
                  <c:v>-19.454136594847125</c:v>
                </c:pt>
                <c:pt idx="1">
                  <c:v>-21.124543929726279</c:v>
                </c:pt>
                <c:pt idx="2">
                  <c:v>-23.57498671899511</c:v>
                </c:pt>
                <c:pt idx="3">
                  <c:v>-25.568577209797233</c:v>
                </c:pt>
                <c:pt idx="4">
                  <c:v>-27.984765157906732</c:v>
                </c:pt>
                <c:pt idx="5">
                  <c:v>-29.806483681418271</c:v>
                </c:pt>
                <c:pt idx="6">
                  <c:v>-30.931884055493512</c:v>
                </c:pt>
                <c:pt idx="7">
                  <c:v>-30.719207233550627</c:v>
                </c:pt>
                <c:pt idx="8">
                  <c:v>-32.36905372101134</c:v>
                </c:pt>
                <c:pt idx="9">
                  <c:v>-34.764956729828413</c:v>
                </c:pt>
                <c:pt idx="10">
                  <c:v>-33.032854045435194</c:v>
                </c:pt>
                <c:pt idx="11">
                  <c:v>-32.718510779046447</c:v>
                </c:pt>
                <c:pt idx="12">
                  <c:v>-32.435605998522057</c:v>
                </c:pt>
                <c:pt idx="13">
                  <c:v>-31.296057419550394</c:v>
                </c:pt>
                <c:pt idx="14">
                  <c:v>-28.90531121334573</c:v>
                </c:pt>
                <c:pt idx="15">
                  <c:v>-28.090403661321822</c:v>
                </c:pt>
                <c:pt idx="16">
                  <c:v>-31.491203862722696</c:v>
                </c:pt>
                <c:pt idx="17">
                  <c:v>-31.695562419841483</c:v>
                </c:pt>
                <c:pt idx="18">
                  <c:v>-32.034036963511795</c:v>
                </c:pt>
                <c:pt idx="19">
                  <c:v>-32.957803852595568</c:v>
                </c:pt>
                <c:pt idx="20">
                  <c:v>-32.889617079900916</c:v>
                </c:pt>
                <c:pt idx="21">
                  <c:v>-31.068731034602109</c:v>
                </c:pt>
                <c:pt idx="22">
                  <c:v>-26.768040091447027</c:v>
                </c:pt>
                <c:pt idx="23">
                  <c:v>-25.982616175740592</c:v>
                </c:pt>
                <c:pt idx="24">
                  <c:v>-20.046616276684773</c:v>
                </c:pt>
                <c:pt idx="25">
                  <c:v>-19.713941196501441</c:v>
                </c:pt>
                <c:pt idx="26">
                  <c:v>-19.792361326348804</c:v>
                </c:pt>
                <c:pt idx="27">
                  <c:v>-17.025804856505644</c:v>
                </c:pt>
                <c:pt idx="28">
                  <c:v>-10.758053897129086</c:v>
                </c:pt>
                <c:pt idx="29">
                  <c:v>-8.2964818094747379</c:v>
                </c:pt>
                <c:pt idx="30">
                  <c:v>-6.4017644727568808</c:v>
                </c:pt>
                <c:pt idx="31">
                  <c:v>-4.3356611951124568</c:v>
                </c:pt>
                <c:pt idx="32">
                  <c:v>-1.746753227232398</c:v>
                </c:pt>
                <c:pt idx="33">
                  <c:v>-3.0990716978146913</c:v>
                </c:pt>
                <c:pt idx="34">
                  <c:v>-3.9457738655534258</c:v>
                </c:pt>
                <c:pt idx="35">
                  <c:v>-1.8900525772089352</c:v>
                </c:pt>
                <c:pt idx="36">
                  <c:v>3.3656605002003745</c:v>
                </c:pt>
                <c:pt idx="37">
                  <c:v>3.7112611154231296</c:v>
                </c:pt>
                <c:pt idx="38">
                  <c:v>4.5254420505120905</c:v>
                </c:pt>
                <c:pt idx="39">
                  <c:v>3.7020643839091232</c:v>
                </c:pt>
                <c:pt idx="40">
                  <c:v>4.3257448991030563</c:v>
                </c:pt>
                <c:pt idx="41">
                  <c:v>5.7124275415966128</c:v>
                </c:pt>
                <c:pt idx="42">
                  <c:v>7.0183949157946666</c:v>
                </c:pt>
                <c:pt idx="43">
                  <c:v>7.1330258356739309</c:v>
                </c:pt>
                <c:pt idx="44">
                  <c:v>6.776123833605431</c:v>
                </c:pt>
                <c:pt idx="45">
                  <c:v>9.4544212862929378</c:v>
                </c:pt>
                <c:pt idx="46">
                  <c:v>10.046803127466925</c:v>
                </c:pt>
                <c:pt idx="47">
                  <c:v>10.543568579061541</c:v>
                </c:pt>
                <c:pt idx="48">
                  <c:v>9.7855746050872821</c:v>
                </c:pt>
                <c:pt idx="49">
                  <c:v>10.234781848516219</c:v>
                </c:pt>
                <c:pt idx="50">
                  <c:v>10.580501427300188</c:v>
                </c:pt>
                <c:pt idx="51">
                  <c:v>11.312515701691359</c:v>
                </c:pt>
                <c:pt idx="52">
                  <c:v>11.582727879888244</c:v>
                </c:pt>
                <c:pt idx="53">
                  <c:v>11.594283049895628</c:v>
                </c:pt>
                <c:pt idx="54">
                  <c:v>12.65265605846812</c:v>
                </c:pt>
                <c:pt idx="55">
                  <c:v>13.687518469768122</c:v>
                </c:pt>
                <c:pt idx="56">
                  <c:v>15.097296388985256</c:v>
                </c:pt>
                <c:pt idx="57">
                  <c:v>15.735724165697878</c:v>
                </c:pt>
                <c:pt idx="58">
                  <c:v>15.773160847721901</c:v>
                </c:pt>
                <c:pt idx="59">
                  <c:v>15.423799178846686</c:v>
                </c:pt>
                <c:pt idx="60">
                  <c:v>16.779613486374618</c:v>
                </c:pt>
                <c:pt idx="61">
                  <c:v>18.025122956437151</c:v>
                </c:pt>
                <c:pt idx="62">
                  <c:v>19.060936275772526</c:v>
                </c:pt>
                <c:pt idx="63">
                  <c:v>20.056271718610557</c:v>
                </c:pt>
                <c:pt idx="64">
                  <c:v>20.044211188982448</c:v>
                </c:pt>
                <c:pt idx="65">
                  <c:v>19.951842078227816</c:v>
                </c:pt>
                <c:pt idx="66">
                  <c:v>19.479725612151388</c:v>
                </c:pt>
                <c:pt idx="67">
                  <c:v>19.460906690222064</c:v>
                </c:pt>
                <c:pt idx="68">
                  <c:v>20.251244805366099</c:v>
                </c:pt>
                <c:pt idx="69">
                  <c:v>21.286436692818093</c:v>
                </c:pt>
                <c:pt idx="70">
                  <c:v>21.593434124792843</c:v>
                </c:pt>
                <c:pt idx="71">
                  <c:v>22.5166483433709</c:v>
                </c:pt>
                <c:pt idx="72">
                  <c:v>23.134045012647377</c:v>
                </c:pt>
                <c:pt idx="73">
                  <c:v>22.663496943126692</c:v>
                </c:pt>
                <c:pt idx="74">
                  <c:v>22.828206732369168</c:v>
                </c:pt>
                <c:pt idx="75">
                  <c:v>21.463435568256841</c:v>
                </c:pt>
                <c:pt idx="76">
                  <c:v>22.548776475240487</c:v>
                </c:pt>
                <c:pt idx="77">
                  <c:v>23.087193396597986</c:v>
                </c:pt>
                <c:pt idx="78">
                  <c:v>24.216707483991684</c:v>
                </c:pt>
                <c:pt idx="79">
                  <c:v>24.20240875476939</c:v>
                </c:pt>
                <c:pt idx="80">
                  <c:v>24.255676890473531</c:v>
                </c:pt>
                <c:pt idx="81">
                  <c:v>24.999543749582003</c:v>
                </c:pt>
                <c:pt idx="82">
                  <c:v>24.515756759845356</c:v>
                </c:pt>
                <c:pt idx="83">
                  <c:v>23.823541058748745</c:v>
                </c:pt>
                <c:pt idx="84">
                  <c:v>22.920564986525971</c:v>
                </c:pt>
                <c:pt idx="85">
                  <c:v>22.726241969473524</c:v>
                </c:pt>
                <c:pt idx="86">
                  <c:v>22.328607350387301</c:v>
                </c:pt>
                <c:pt idx="87">
                  <c:v>23.487079565454266</c:v>
                </c:pt>
                <c:pt idx="88">
                  <c:v>22.603274028273336</c:v>
                </c:pt>
                <c:pt idx="89">
                  <c:v>21.214134893766605</c:v>
                </c:pt>
                <c:pt idx="90">
                  <c:v>19.283583902820219</c:v>
                </c:pt>
                <c:pt idx="91">
                  <c:v>19.096393742554287</c:v>
                </c:pt>
                <c:pt idx="92">
                  <c:v>19.409648077812847</c:v>
                </c:pt>
                <c:pt idx="93">
                  <c:v>17.852615479259374</c:v>
                </c:pt>
                <c:pt idx="94">
                  <c:v>20.765055631214338</c:v>
                </c:pt>
                <c:pt idx="95">
                  <c:v>20.250040086370575</c:v>
                </c:pt>
                <c:pt idx="96">
                  <c:v>20.671627634572662</c:v>
                </c:pt>
                <c:pt idx="97">
                  <c:v>20.048863966840138</c:v>
                </c:pt>
                <c:pt idx="98">
                  <c:v>19.630571973574163</c:v>
                </c:pt>
                <c:pt idx="99">
                  <c:v>19.968522910051373</c:v>
                </c:pt>
                <c:pt idx="100">
                  <c:v>19.741280533052084</c:v>
                </c:pt>
                <c:pt idx="101">
                  <c:v>20.535540597095228</c:v>
                </c:pt>
                <c:pt idx="102">
                  <c:v>21.525994693190679</c:v>
                </c:pt>
                <c:pt idx="103">
                  <c:v>21.719611112246174</c:v>
                </c:pt>
                <c:pt idx="104">
                  <c:v>21.932575548360635</c:v>
                </c:pt>
                <c:pt idx="105">
                  <c:v>21.118041064861849</c:v>
                </c:pt>
                <c:pt idx="106">
                  <c:v>18.592425858178231</c:v>
                </c:pt>
                <c:pt idx="107">
                  <c:v>18.928318031554241</c:v>
                </c:pt>
                <c:pt idx="108">
                  <c:v>18.894027981119919</c:v>
                </c:pt>
                <c:pt idx="109">
                  <c:v>19.028755794329516</c:v>
                </c:pt>
                <c:pt idx="110">
                  <c:v>19.245626788608725</c:v>
                </c:pt>
                <c:pt idx="111">
                  <c:v>19.72906151689644</c:v>
                </c:pt>
                <c:pt idx="112">
                  <c:v>20.187296922800144</c:v>
                </c:pt>
                <c:pt idx="113">
                  <c:v>20.310652854687334</c:v>
                </c:pt>
                <c:pt idx="114">
                  <c:v>19.779924270494792</c:v>
                </c:pt>
                <c:pt idx="115">
                  <c:v>20.213175436028958</c:v>
                </c:pt>
                <c:pt idx="116">
                  <c:v>19.832717812419453</c:v>
                </c:pt>
                <c:pt idx="117">
                  <c:v>20.977419686614795</c:v>
                </c:pt>
                <c:pt idx="118">
                  <c:v>20.861713440517423</c:v>
                </c:pt>
                <c:pt idx="119">
                  <c:v>20.87801428810835</c:v>
                </c:pt>
                <c:pt idx="120">
                  <c:v>20.358658033481039</c:v>
                </c:pt>
                <c:pt idx="121">
                  <c:v>20.421251171705666</c:v>
                </c:pt>
                <c:pt idx="122">
                  <c:v>20.711377960151104</c:v>
                </c:pt>
                <c:pt idx="123">
                  <c:v>20.439331622275546</c:v>
                </c:pt>
                <c:pt idx="124">
                  <c:v>20.119231873215021</c:v>
                </c:pt>
                <c:pt idx="125">
                  <c:v>19.67579182374056</c:v>
                </c:pt>
                <c:pt idx="126">
                  <c:v>19.497750344079847</c:v>
                </c:pt>
                <c:pt idx="127">
                  <c:v>18.76937878793473</c:v>
                </c:pt>
                <c:pt idx="128">
                  <c:v>19.629439997560524</c:v>
                </c:pt>
                <c:pt idx="129">
                  <c:v>19.556474890216709</c:v>
                </c:pt>
                <c:pt idx="130">
                  <c:v>19.187718453195998</c:v>
                </c:pt>
                <c:pt idx="131">
                  <c:v>18.901819628299169</c:v>
                </c:pt>
                <c:pt idx="132">
                  <c:v>18.420395990308226</c:v>
                </c:pt>
                <c:pt idx="133">
                  <c:v>17.774309285934919</c:v>
                </c:pt>
                <c:pt idx="134">
                  <c:v>17.884991837968677</c:v>
                </c:pt>
                <c:pt idx="135">
                  <c:v>18.243953308433714</c:v>
                </c:pt>
                <c:pt idx="136">
                  <c:v>18.275956740941307</c:v>
                </c:pt>
                <c:pt idx="137">
                  <c:v>18.141179879426915</c:v>
                </c:pt>
                <c:pt idx="138">
                  <c:v>18.003828328308728</c:v>
                </c:pt>
                <c:pt idx="139">
                  <c:v>18.067972999112026</c:v>
                </c:pt>
                <c:pt idx="140">
                  <c:v>17.211243695085781</c:v>
                </c:pt>
                <c:pt idx="141">
                  <c:v>16.734029316007529</c:v>
                </c:pt>
                <c:pt idx="142">
                  <c:v>16.883033314162965</c:v>
                </c:pt>
                <c:pt idx="143">
                  <c:v>16.461379815214887</c:v>
                </c:pt>
                <c:pt idx="144">
                  <c:v>16.840470942308531</c:v>
                </c:pt>
                <c:pt idx="145">
                  <c:v>17.068322037775289</c:v>
                </c:pt>
                <c:pt idx="146">
                  <c:v>16.673257459344139</c:v>
                </c:pt>
                <c:pt idx="147">
                  <c:v>17.039944843593219</c:v>
                </c:pt>
                <c:pt idx="148">
                  <c:v>16.693732642568122</c:v>
                </c:pt>
                <c:pt idx="149">
                  <c:v>16.67894086758195</c:v>
                </c:pt>
                <c:pt idx="150">
                  <c:v>16.586228519069842</c:v>
                </c:pt>
                <c:pt idx="151">
                  <c:v>16.230387981933532</c:v>
                </c:pt>
                <c:pt idx="152">
                  <c:v>15.862136590294673</c:v>
                </c:pt>
                <c:pt idx="153">
                  <c:v>16.123241535152481</c:v>
                </c:pt>
                <c:pt idx="154">
                  <c:v>16.109047364002581</c:v>
                </c:pt>
                <c:pt idx="155">
                  <c:v>16.204526694509426</c:v>
                </c:pt>
                <c:pt idx="156">
                  <c:v>16.334787084432243</c:v>
                </c:pt>
                <c:pt idx="157">
                  <c:v>16.190540127880094</c:v>
                </c:pt>
                <c:pt idx="158">
                  <c:v>16.047506705523496</c:v>
                </c:pt>
                <c:pt idx="159">
                  <c:v>16.020429998201134</c:v>
                </c:pt>
                <c:pt idx="160">
                  <c:v>15.935966592871095</c:v>
                </c:pt>
                <c:pt idx="161">
                  <c:v>15.704630190957532</c:v>
                </c:pt>
                <c:pt idx="162">
                  <c:v>15.699956812280755</c:v>
                </c:pt>
                <c:pt idx="163">
                  <c:v>15.442325183158617</c:v>
                </c:pt>
                <c:pt idx="164">
                  <c:v>15.291589108781004</c:v>
                </c:pt>
                <c:pt idx="165">
                  <c:v>14.854900355017847</c:v>
                </c:pt>
                <c:pt idx="166">
                  <c:v>14.597835681508114</c:v>
                </c:pt>
                <c:pt idx="167">
                  <c:v>14.561468718638073</c:v>
                </c:pt>
                <c:pt idx="168">
                  <c:v>14.637241800860659</c:v>
                </c:pt>
                <c:pt idx="169">
                  <c:v>14.534422646228862</c:v>
                </c:pt>
                <c:pt idx="170">
                  <c:v>15.045719559512369</c:v>
                </c:pt>
                <c:pt idx="171">
                  <c:v>14.842879170908532</c:v>
                </c:pt>
                <c:pt idx="172">
                  <c:v>14.788989390287183</c:v>
                </c:pt>
                <c:pt idx="173">
                  <c:v>14.482368716756561</c:v>
                </c:pt>
                <c:pt idx="174">
                  <c:v>13.801919457093948</c:v>
                </c:pt>
                <c:pt idx="175">
                  <c:v>13.93809934281094</c:v>
                </c:pt>
                <c:pt idx="176">
                  <c:v>13.791481046996331</c:v>
                </c:pt>
                <c:pt idx="177">
                  <c:v>13.952814533160346</c:v>
                </c:pt>
                <c:pt idx="178">
                  <c:v>13.761388996180585</c:v>
                </c:pt>
                <c:pt idx="179">
                  <c:v>13.500971497568351</c:v>
                </c:pt>
                <c:pt idx="180">
                  <c:v>13.033271276166158</c:v>
                </c:pt>
                <c:pt idx="181">
                  <c:v>12.784003577839478</c:v>
                </c:pt>
                <c:pt idx="182">
                  <c:v>12.096503544582074</c:v>
                </c:pt>
                <c:pt idx="183">
                  <c:v>12.294431304957186</c:v>
                </c:pt>
                <c:pt idx="184">
                  <c:v>11.978064583300318</c:v>
                </c:pt>
                <c:pt idx="185">
                  <c:v>12.038641334917475</c:v>
                </c:pt>
                <c:pt idx="186">
                  <c:v>12.462390982269063</c:v>
                </c:pt>
                <c:pt idx="187">
                  <c:v>12.232466651493134</c:v>
                </c:pt>
                <c:pt idx="188">
                  <c:v>12.159778499769425</c:v>
                </c:pt>
                <c:pt idx="189">
                  <c:v>12.205455795649248</c:v>
                </c:pt>
                <c:pt idx="190">
                  <c:v>12.32347761495458</c:v>
                </c:pt>
                <c:pt idx="191">
                  <c:v>12.102600340761807</c:v>
                </c:pt>
                <c:pt idx="192">
                  <c:v>13.193102101632462</c:v>
                </c:pt>
                <c:pt idx="193">
                  <c:v>13.411783684427533</c:v>
                </c:pt>
                <c:pt idx="194">
                  <c:v>13.897249868390563</c:v>
                </c:pt>
                <c:pt idx="195">
                  <c:v>13.823775303303599</c:v>
                </c:pt>
                <c:pt idx="196">
                  <c:v>14.431140308913612</c:v>
                </c:pt>
                <c:pt idx="197">
                  <c:v>14.753068038945424</c:v>
                </c:pt>
                <c:pt idx="198">
                  <c:v>14.759558916351741</c:v>
                </c:pt>
                <c:pt idx="199">
                  <c:v>15.028976072307126</c:v>
                </c:pt>
                <c:pt idx="200">
                  <c:v>15.273960573539577</c:v>
                </c:pt>
                <c:pt idx="201">
                  <c:v>15.393564027979153</c:v>
                </c:pt>
                <c:pt idx="202">
                  <c:v>15.477068510956363</c:v>
                </c:pt>
                <c:pt idx="203">
                  <c:v>15.782250731517033</c:v>
                </c:pt>
                <c:pt idx="204">
                  <c:v>14.676938662662794</c:v>
                </c:pt>
                <c:pt idx="205">
                  <c:v>14.481840082449676</c:v>
                </c:pt>
                <c:pt idx="206">
                  <c:v>14.335519483739242</c:v>
                </c:pt>
                <c:pt idx="207">
                  <c:v>13.790403605937207</c:v>
                </c:pt>
                <c:pt idx="208">
                  <c:v>13.376964356138485</c:v>
                </c:pt>
                <c:pt idx="209">
                  <c:v>13.448729981065554</c:v>
                </c:pt>
                <c:pt idx="210">
                  <c:v>16.589754422502693</c:v>
                </c:pt>
                <c:pt idx="211">
                  <c:v>16.285489667719933</c:v>
                </c:pt>
                <c:pt idx="212">
                  <c:v>16.043953315607119</c:v>
                </c:pt>
                <c:pt idx="213">
                  <c:v>15.718471062126243</c:v>
                </c:pt>
                <c:pt idx="214">
                  <c:v>15.188026643260482</c:v>
                </c:pt>
                <c:pt idx="215">
                  <c:v>14.789648259718282</c:v>
                </c:pt>
                <c:pt idx="216">
                  <c:v>15.936952179694275</c:v>
                </c:pt>
                <c:pt idx="217">
                  <c:v>15.996104551130538</c:v>
                </c:pt>
                <c:pt idx="218">
                  <c:v>15.408032178839223</c:v>
                </c:pt>
                <c:pt idx="219">
                  <c:v>15.348883886739845</c:v>
                </c:pt>
                <c:pt idx="220">
                  <c:v>15.164685790699689</c:v>
                </c:pt>
                <c:pt idx="221">
                  <c:v>14.666305609246303</c:v>
                </c:pt>
                <c:pt idx="222">
                  <c:v>11.279992176602484</c:v>
                </c:pt>
                <c:pt idx="223">
                  <c:v>11.153869028584689</c:v>
                </c:pt>
                <c:pt idx="224">
                  <c:v>10.778423074993125</c:v>
                </c:pt>
                <c:pt idx="225">
                  <c:v>10.316241812137083</c:v>
                </c:pt>
                <c:pt idx="226">
                  <c:v>10.464896699332861</c:v>
                </c:pt>
                <c:pt idx="227">
                  <c:v>10.402645598925806</c:v>
                </c:pt>
                <c:pt idx="228">
                  <c:v>10.251230852320296</c:v>
                </c:pt>
                <c:pt idx="229">
                  <c:v>10.011061028337711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8D-40D7-9BBE-8C2625B28032}"/>
            </c:ext>
          </c:extLst>
        </c:ser>
        <c:ser>
          <c:idx val="1"/>
          <c:order val="1"/>
          <c:tx>
            <c:strRef>
              <c:f>'G2.5B'!$J$2</c:f>
              <c:strCache>
                <c:ptCount val="1"/>
                <c:pt idx="0">
                  <c:v>ROE promedio cinco años</c:v>
                </c:pt>
              </c:strCache>
            </c:strRef>
          </c:tx>
          <c:spPr>
            <a:ln>
              <a:solidFill>
                <a:srgbClr val="E7B200"/>
              </a:solidFill>
              <a:prstDash val="sysDot"/>
            </a:ln>
          </c:spPr>
          <c:marker>
            <c:symbol val="none"/>
          </c:marker>
          <c:dLbls>
            <c:dLbl>
              <c:idx val="224"/>
              <c:layout>
                <c:manualLayout>
                  <c:x val="1.0178117048345908E-2"/>
                  <c:y val="-3.384094754653192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8D-40D7-9BBE-8C2625B2803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'G2.5B'!$A$3:$A$501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'G2.5B'!$J$3:$J$501</c:f>
              <c:numCache>
                <c:formatCode>0.0</c:formatCode>
                <c:ptCount val="499"/>
                <c:pt idx="170">
                  <c:v>13.679137989445179</c:v>
                </c:pt>
                <c:pt idx="171">
                  <c:v>13.679137989445179</c:v>
                </c:pt>
                <c:pt idx="172">
                  <c:v>13.679137989445179</c:v>
                </c:pt>
                <c:pt idx="173">
                  <c:v>13.679137989445179</c:v>
                </c:pt>
                <c:pt idx="174">
                  <c:v>13.679137989445179</c:v>
                </c:pt>
                <c:pt idx="175">
                  <c:v>13.679137989445179</c:v>
                </c:pt>
                <c:pt idx="176">
                  <c:v>13.679137989445179</c:v>
                </c:pt>
                <c:pt idx="177">
                  <c:v>13.679137989445179</c:v>
                </c:pt>
                <c:pt idx="178">
                  <c:v>13.679137989445179</c:v>
                </c:pt>
                <c:pt idx="179">
                  <c:v>13.679137989445179</c:v>
                </c:pt>
                <c:pt idx="180">
                  <c:v>13.679137989445179</c:v>
                </c:pt>
                <c:pt idx="181">
                  <c:v>13.679137989445179</c:v>
                </c:pt>
                <c:pt idx="182">
                  <c:v>13.679137989445179</c:v>
                </c:pt>
                <c:pt idx="183">
                  <c:v>13.679137989445179</c:v>
                </c:pt>
                <c:pt idx="184">
                  <c:v>13.679137989445179</c:v>
                </c:pt>
                <c:pt idx="185">
                  <c:v>13.679137989445179</c:v>
                </c:pt>
                <c:pt idx="186">
                  <c:v>13.679137989445179</c:v>
                </c:pt>
                <c:pt idx="187">
                  <c:v>13.679137989445179</c:v>
                </c:pt>
                <c:pt idx="188">
                  <c:v>13.679137989445179</c:v>
                </c:pt>
                <c:pt idx="189">
                  <c:v>13.679137989445179</c:v>
                </c:pt>
                <c:pt idx="190">
                  <c:v>13.679137989445179</c:v>
                </c:pt>
                <c:pt idx="191">
                  <c:v>13.679137989445179</c:v>
                </c:pt>
                <c:pt idx="192">
                  <c:v>13.679137989445179</c:v>
                </c:pt>
                <c:pt idx="193">
                  <c:v>13.679137989445179</c:v>
                </c:pt>
                <c:pt idx="194">
                  <c:v>13.679137989445179</c:v>
                </c:pt>
                <c:pt idx="195">
                  <c:v>13.679137989445179</c:v>
                </c:pt>
                <c:pt idx="196">
                  <c:v>13.679137989445179</c:v>
                </c:pt>
                <c:pt idx="197">
                  <c:v>13.679137989445179</c:v>
                </c:pt>
                <c:pt idx="198">
                  <c:v>13.679137989445179</c:v>
                </c:pt>
                <c:pt idx="199">
                  <c:v>13.679137989445179</c:v>
                </c:pt>
                <c:pt idx="200">
                  <c:v>13.679137989445179</c:v>
                </c:pt>
                <c:pt idx="201">
                  <c:v>13.679137989445179</c:v>
                </c:pt>
                <c:pt idx="202">
                  <c:v>13.679137989445179</c:v>
                </c:pt>
                <c:pt idx="203">
                  <c:v>13.679137989445179</c:v>
                </c:pt>
                <c:pt idx="204">
                  <c:v>13.679137989445179</c:v>
                </c:pt>
                <c:pt idx="205">
                  <c:v>13.679137989445179</c:v>
                </c:pt>
                <c:pt idx="206">
                  <c:v>13.679137989445179</c:v>
                </c:pt>
                <c:pt idx="207">
                  <c:v>13.679137989445179</c:v>
                </c:pt>
                <c:pt idx="208">
                  <c:v>13.679137989445179</c:v>
                </c:pt>
                <c:pt idx="209">
                  <c:v>13.679137989445179</c:v>
                </c:pt>
                <c:pt idx="210">
                  <c:v>13.679137989445179</c:v>
                </c:pt>
                <c:pt idx="211">
                  <c:v>13.679137989445179</c:v>
                </c:pt>
                <c:pt idx="212">
                  <c:v>13.679137989445179</c:v>
                </c:pt>
                <c:pt idx="213">
                  <c:v>13.679137989445179</c:v>
                </c:pt>
                <c:pt idx="214">
                  <c:v>13.679137989445179</c:v>
                </c:pt>
                <c:pt idx="215">
                  <c:v>13.679137989445179</c:v>
                </c:pt>
                <c:pt idx="216">
                  <c:v>13.679137989445179</c:v>
                </c:pt>
                <c:pt idx="217">
                  <c:v>13.679137989445179</c:v>
                </c:pt>
                <c:pt idx="218">
                  <c:v>13.679137989445179</c:v>
                </c:pt>
                <c:pt idx="219">
                  <c:v>13.679137989445179</c:v>
                </c:pt>
                <c:pt idx="220">
                  <c:v>13.679137989445179</c:v>
                </c:pt>
                <c:pt idx="221">
                  <c:v>13.679137989445179</c:v>
                </c:pt>
                <c:pt idx="222">
                  <c:v>13.679137989445179</c:v>
                </c:pt>
                <c:pt idx="223">
                  <c:v>13.679137989445179</c:v>
                </c:pt>
                <c:pt idx="224">
                  <c:v>13.679137989445179</c:v>
                </c:pt>
                <c:pt idx="225">
                  <c:v>13.679137989445179</c:v>
                </c:pt>
                <c:pt idx="226">
                  <c:v>13.679137989445179</c:v>
                </c:pt>
                <c:pt idx="227">
                  <c:v>13.679137989445179</c:v>
                </c:pt>
                <c:pt idx="228">
                  <c:v>13.679137989445179</c:v>
                </c:pt>
                <c:pt idx="229">
                  <c:v>13.679137989445179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68D-40D7-9BBE-8C2625B28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284112"/>
        <c:axId val="245629488"/>
      </c:lineChart>
      <c:dateAx>
        <c:axId val="158284112"/>
        <c:scaling>
          <c:orientation val="minMax"/>
          <c:min val="37622"/>
        </c:scaling>
        <c:delete val="0"/>
        <c:axPos val="b"/>
        <c:numFmt formatCode="mmm\-yy" sourceLinked="1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24562948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245629488"/>
        <c:scaling>
          <c:orientation val="minMax"/>
          <c:max val="3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s-CO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158284112"/>
        <c:crosses val="autoZero"/>
        <c:crossBetween val="midCat"/>
        <c:minorUnit val="5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256410256410256"/>
          <c:y val="0.88227960083669732"/>
          <c:w val="0.73128205128205126"/>
          <c:h val="9.0839495316892477E-2"/>
        </c:manualLayout>
      </c:layout>
      <c:overlay val="0"/>
      <c:txPr>
        <a:bodyPr/>
        <a:lstStyle/>
        <a:p>
          <a:pPr>
            <a:defRPr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66001503766343E-2"/>
          <c:y val="0.10498749342050674"/>
          <c:w val="0.86134871579968864"/>
          <c:h val="0.71824857753418359"/>
        </c:manualLayout>
      </c:layout>
      <c:lineChart>
        <c:grouping val="standard"/>
        <c:varyColors val="0"/>
        <c:ser>
          <c:idx val="1"/>
          <c:order val="1"/>
          <c:tx>
            <c:strRef>
              <c:f>'G2.6A'!$C$1</c:f>
              <c:strCache>
                <c:ptCount val="1"/>
                <c:pt idx="0">
                  <c:v>SFD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'G2.6A'!$A$62:$A$159</c:f>
              <c:numCache>
                <c:formatCode>mmm\-yy</c:formatCode>
                <c:ptCount val="98"/>
                <c:pt idx="0">
                  <c:v>40178</c:v>
                </c:pt>
                <c:pt idx="1">
                  <c:v>40209</c:v>
                </c:pt>
                <c:pt idx="2">
                  <c:v>40237</c:v>
                </c:pt>
                <c:pt idx="3">
                  <c:v>40268</c:v>
                </c:pt>
                <c:pt idx="4">
                  <c:v>40298</c:v>
                </c:pt>
                <c:pt idx="5">
                  <c:v>40329</c:v>
                </c:pt>
                <c:pt idx="6">
                  <c:v>40359</c:v>
                </c:pt>
                <c:pt idx="7">
                  <c:v>40390</c:v>
                </c:pt>
                <c:pt idx="8">
                  <c:v>40421</c:v>
                </c:pt>
                <c:pt idx="9">
                  <c:v>40451</c:v>
                </c:pt>
                <c:pt idx="10">
                  <c:v>40482</c:v>
                </c:pt>
                <c:pt idx="11">
                  <c:v>40512</c:v>
                </c:pt>
                <c:pt idx="12">
                  <c:v>40543</c:v>
                </c:pt>
                <c:pt idx="13">
                  <c:v>40574</c:v>
                </c:pt>
                <c:pt idx="14">
                  <c:v>40602</c:v>
                </c:pt>
                <c:pt idx="15">
                  <c:v>40633</c:v>
                </c:pt>
                <c:pt idx="16">
                  <c:v>40663</c:v>
                </c:pt>
                <c:pt idx="17">
                  <c:v>40694</c:v>
                </c:pt>
                <c:pt idx="18">
                  <c:v>40724</c:v>
                </c:pt>
                <c:pt idx="19">
                  <c:v>40755</c:v>
                </c:pt>
                <c:pt idx="20">
                  <c:v>40786</c:v>
                </c:pt>
                <c:pt idx="21">
                  <c:v>40816</c:v>
                </c:pt>
                <c:pt idx="22">
                  <c:v>40847</c:v>
                </c:pt>
                <c:pt idx="23">
                  <c:v>40877</c:v>
                </c:pt>
                <c:pt idx="24">
                  <c:v>40908</c:v>
                </c:pt>
                <c:pt idx="25">
                  <c:v>40939</c:v>
                </c:pt>
                <c:pt idx="26">
                  <c:v>40968</c:v>
                </c:pt>
                <c:pt idx="27">
                  <c:v>40999</c:v>
                </c:pt>
                <c:pt idx="28">
                  <c:v>41029</c:v>
                </c:pt>
                <c:pt idx="29">
                  <c:v>41060</c:v>
                </c:pt>
                <c:pt idx="30">
                  <c:v>41090</c:v>
                </c:pt>
                <c:pt idx="31">
                  <c:v>41121</c:v>
                </c:pt>
                <c:pt idx="32">
                  <c:v>41152</c:v>
                </c:pt>
                <c:pt idx="33">
                  <c:v>41182</c:v>
                </c:pt>
                <c:pt idx="34">
                  <c:v>41213</c:v>
                </c:pt>
                <c:pt idx="35">
                  <c:v>41243</c:v>
                </c:pt>
                <c:pt idx="36">
                  <c:v>41274</c:v>
                </c:pt>
                <c:pt idx="37">
                  <c:v>41305</c:v>
                </c:pt>
                <c:pt idx="38">
                  <c:v>41333</c:v>
                </c:pt>
                <c:pt idx="39">
                  <c:v>41364</c:v>
                </c:pt>
                <c:pt idx="40">
                  <c:v>41394</c:v>
                </c:pt>
                <c:pt idx="41">
                  <c:v>41425</c:v>
                </c:pt>
                <c:pt idx="42">
                  <c:v>41455</c:v>
                </c:pt>
                <c:pt idx="43">
                  <c:v>41486</c:v>
                </c:pt>
                <c:pt idx="44">
                  <c:v>41517</c:v>
                </c:pt>
                <c:pt idx="45">
                  <c:v>41547</c:v>
                </c:pt>
                <c:pt idx="46">
                  <c:v>41578</c:v>
                </c:pt>
                <c:pt idx="47">
                  <c:v>41608</c:v>
                </c:pt>
                <c:pt idx="48">
                  <c:v>41639</c:v>
                </c:pt>
                <c:pt idx="49">
                  <c:v>41670</c:v>
                </c:pt>
                <c:pt idx="50">
                  <c:v>41698</c:v>
                </c:pt>
                <c:pt idx="51">
                  <c:v>41729</c:v>
                </c:pt>
                <c:pt idx="52">
                  <c:v>41759</c:v>
                </c:pt>
                <c:pt idx="53">
                  <c:v>41790</c:v>
                </c:pt>
                <c:pt idx="54">
                  <c:v>41820</c:v>
                </c:pt>
                <c:pt idx="55">
                  <c:v>41851</c:v>
                </c:pt>
                <c:pt idx="56">
                  <c:v>41882</c:v>
                </c:pt>
                <c:pt idx="57">
                  <c:v>41912</c:v>
                </c:pt>
                <c:pt idx="58">
                  <c:v>41942</c:v>
                </c:pt>
                <c:pt idx="59">
                  <c:v>41973</c:v>
                </c:pt>
                <c:pt idx="60">
                  <c:v>42003</c:v>
                </c:pt>
                <c:pt idx="61">
                  <c:v>42034</c:v>
                </c:pt>
                <c:pt idx="62">
                  <c:v>42063</c:v>
                </c:pt>
                <c:pt idx="63">
                  <c:v>42093</c:v>
                </c:pt>
                <c:pt idx="64">
                  <c:v>42124</c:v>
                </c:pt>
                <c:pt idx="65">
                  <c:v>42154</c:v>
                </c:pt>
                <c:pt idx="66">
                  <c:v>42185</c:v>
                </c:pt>
                <c:pt idx="67">
                  <c:v>42215</c:v>
                </c:pt>
                <c:pt idx="68">
                  <c:v>42246</c:v>
                </c:pt>
                <c:pt idx="69">
                  <c:v>42277</c:v>
                </c:pt>
                <c:pt idx="70">
                  <c:v>42307</c:v>
                </c:pt>
                <c:pt idx="71">
                  <c:v>42338</c:v>
                </c:pt>
                <c:pt idx="72">
                  <c:v>42368</c:v>
                </c:pt>
                <c:pt idx="73">
                  <c:v>42370</c:v>
                </c:pt>
                <c:pt idx="74">
                  <c:v>42401</c:v>
                </c:pt>
                <c:pt idx="75">
                  <c:v>42430</c:v>
                </c:pt>
                <c:pt idx="76">
                  <c:v>42461</c:v>
                </c:pt>
                <c:pt idx="77">
                  <c:v>42491</c:v>
                </c:pt>
                <c:pt idx="78">
                  <c:v>42522</c:v>
                </c:pt>
                <c:pt idx="79">
                  <c:v>42552</c:v>
                </c:pt>
                <c:pt idx="80">
                  <c:v>42583</c:v>
                </c:pt>
                <c:pt idx="81">
                  <c:v>42614</c:v>
                </c:pt>
                <c:pt idx="82">
                  <c:v>42644</c:v>
                </c:pt>
                <c:pt idx="83">
                  <c:v>42675</c:v>
                </c:pt>
                <c:pt idx="84">
                  <c:v>42705</c:v>
                </c:pt>
                <c:pt idx="85">
                  <c:v>42736</c:v>
                </c:pt>
                <c:pt idx="86">
                  <c:v>42767</c:v>
                </c:pt>
                <c:pt idx="87">
                  <c:v>42795</c:v>
                </c:pt>
                <c:pt idx="88">
                  <c:v>42826</c:v>
                </c:pt>
                <c:pt idx="89">
                  <c:v>42856</c:v>
                </c:pt>
                <c:pt idx="90">
                  <c:v>42887</c:v>
                </c:pt>
                <c:pt idx="91">
                  <c:v>42917</c:v>
                </c:pt>
                <c:pt idx="92">
                  <c:v>42948</c:v>
                </c:pt>
                <c:pt idx="93">
                  <c:v>42979</c:v>
                </c:pt>
                <c:pt idx="94">
                  <c:v>43009</c:v>
                </c:pt>
                <c:pt idx="95">
                  <c:v>43040</c:v>
                </c:pt>
                <c:pt idx="96">
                  <c:v>43070</c:v>
                </c:pt>
                <c:pt idx="97">
                  <c:v>43101</c:v>
                </c:pt>
              </c:numCache>
            </c:numRef>
          </c:cat>
          <c:val>
            <c:numRef>
              <c:f>'G2.6A'!$C$62:$C$159</c:f>
              <c:numCache>
                <c:formatCode>0.00</c:formatCode>
                <c:ptCount val="98"/>
                <c:pt idx="0">
                  <c:v>22.340199765623318</c:v>
                </c:pt>
                <c:pt idx="1">
                  <c:v>21.097299866566136</c:v>
                </c:pt>
                <c:pt idx="2">
                  <c:v>20.478242404167208</c:v>
                </c:pt>
                <c:pt idx="3">
                  <c:v>20.521285333183581</c:v>
                </c:pt>
                <c:pt idx="4">
                  <c:v>19.938443833491181</c:v>
                </c:pt>
                <c:pt idx="5">
                  <c:v>19.792977054408144</c:v>
                </c:pt>
                <c:pt idx="6">
                  <c:v>20.240089465783779</c:v>
                </c:pt>
                <c:pt idx="7">
                  <c:v>20.547682761902774</c:v>
                </c:pt>
                <c:pt idx="8">
                  <c:v>21.122194142370642</c:v>
                </c:pt>
                <c:pt idx="9">
                  <c:v>20.997090489633774</c:v>
                </c:pt>
                <c:pt idx="10">
                  <c:v>20.719328932634586</c:v>
                </c:pt>
                <c:pt idx="11">
                  <c:v>20.170634667025983</c:v>
                </c:pt>
                <c:pt idx="12">
                  <c:v>19.351896012928979</c:v>
                </c:pt>
                <c:pt idx="13">
                  <c:v>19.378826485444709</c:v>
                </c:pt>
                <c:pt idx="14">
                  <c:v>19.121085447325232</c:v>
                </c:pt>
                <c:pt idx="15">
                  <c:v>18.946524633146986</c:v>
                </c:pt>
                <c:pt idx="16">
                  <c:v>18.514173252343941</c:v>
                </c:pt>
                <c:pt idx="17">
                  <c:v>18.348790114936701</c:v>
                </c:pt>
                <c:pt idx="18">
                  <c:v>18.212285062614161</c:v>
                </c:pt>
                <c:pt idx="19">
                  <c:v>17.830372946381413</c:v>
                </c:pt>
                <c:pt idx="20">
                  <c:v>17.838695923695312</c:v>
                </c:pt>
                <c:pt idx="21">
                  <c:v>17.698746054834512</c:v>
                </c:pt>
                <c:pt idx="22">
                  <c:v>17.452167052269125</c:v>
                </c:pt>
                <c:pt idx="23">
                  <c:v>17.381444331166492</c:v>
                </c:pt>
                <c:pt idx="24">
                  <c:v>17.776773445183622</c:v>
                </c:pt>
                <c:pt idx="25">
                  <c:v>18.194083354969802</c:v>
                </c:pt>
                <c:pt idx="26">
                  <c:v>18.746160921387371</c:v>
                </c:pt>
                <c:pt idx="27">
                  <c:v>18.905518515681269</c:v>
                </c:pt>
                <c:pt idx="28">
                  <c:v>19.277546387432281</c:v>
                </c:pt>
                <c:pt idx="29">
                  <c:v>19.103654433341418</c:v>
                </c:pt>
                <c:pt idx="30">
                  <c:v>19.085036397088579</c:v>
                </c:pt>
                <c:pt idx="31">
                  <c:v>19.58131181224622</c:v>
                </c:pt>
                <c:pt idx="32">
                  <c:v>19.357287958673584</c:v>
                </c:pt>
                <c:pt idx="33">
                  <c:v>19.836368083947519</c:v>
                </c:pt>
                <c:pt idx="34">
                  <c:v>19.932257916901104</c:v>
                </c:pt>
                <c:pt idx="35">
                  <c:v>19.623408062957978</c:v>
                </c:pt>
                <c:pt idx="36">
                  <c:v>19.07410451744741</c:v>
                </c:pt>
                <c:pt idx="37">
                  <c:v>19.031701159817793</c:v>
                </c:pt>
                <c:pt idx="38">
                  <c:v>18.948777911006431</c:v>
                </c:pt>
                <c:pt idx="39">
                  <c:v>20.044407828439478</c:v>
                </c:pt>
                <c:pt idx="40">
                  <c:v>19.768366255005585</c:v>
                </c:pt>
                <c:pt idx="41">
                  <c:v>19.610934866518434</c:v>
                </c:pt>
                <c:pt idx="42">
                  <c:v>18.841005325833336</c:v>
                </c:pt>
                <c:pt idx="43">
                  <c:v>17.871264806700886</c:v>
                </c:pt>
                <c:pt idx="44">
                  <c:v>17.46599515810464</c:v>
                </c:pt>
                <c:pt idx="45">
                  <c:v>17.050043149700521</c:v>
                </c:pt>
                <c:pt idx="46">
                  <c:v>16.901943018987424</c:v>
                </c:pt>
                <c:pt idx="47">
                  <c:v>17.03864017547609</c:v>
                </c:pt>
                <c:pt idx="48">
                  <c:v>16.251296551652576</c:v>
                </c:pt>
                <c:pt idx="49">
                  <c:v>15.696844817059016</c:v>
                </c:pt>
                <c:pt idx="50">
                  <c:v>15.243914268345545</c:v>
                </c:pt>
                <c:pt idx="51">
                  <c:v>14.298993537987268</c:v>
                </c:pt>
                <c:pt idx="52">
                  <c:v>14.108067323747262</c:v>
                </c:pt>
                <c:pt idx="53">
                  <c:v>14.468895202654076</c:v>
                </c:pt>
                <c:pt idx="54">
                  <c:v>15.227570037842613</c:v>
                </c:pt>
                <c:pt idx="55">
                  <c:v>15.307868425315323</c:v>
                </c:pt>
                <c:pt idx="56">
                  <c:v>16.136605187607898</c:v>
                </c:pt>
                <c:pt idx="57">
                  <c:v>15.788144280596486</c:v>
                </c:pt>
                <c:pt idx="58">
                  <c:v>15.856164739333485</c:v>
                </c:pt>
                <c:pt idx="59">
                  <c:v>16.089861528498734</c:v>
                </c:pt>
                <c:pt idx="60">
                  <c:v>15.95722935533513</c:v>
                </c:pt>
                <c:pt idx="61">
                  <c:v>16.143502480311234</c:v>
                </c:pt>
                <c:pt idx="62">
                  <c:v>16.908013876824111</c:v>
                </c:pt>
                <c:pt idx="63">
                  <c:v>17.30437280561792</c:v>
                </c:pt>
                <c:pt idx="64">
                  <c:v>17.188983729152675</c:v>
                </c:pt>
                <c:pt idx="65">
                  <c:v>17.248400977568647</c:v>
                </c:pt>
                <c:pt idx="66">
                  <c:v>16.672484438003998</c:v>
                </c:pt>
                <c:pt idx="67">
                  <c:v>16.926986919448193</c:v>
                </c:pt>
                <c:pt idx="68">
                  <c:v>16.29503786427934</c:v>
                </c:pt>
                <c:pt idx="69">
                  <c:v>16.873916585142201</c:v>
                </c:pt>
                <c:pt idx="70">
                  <c:v>16.751081049596934</c:v>
                </c:pt>
                <c:pt idx="71">
                  <c:v>16.604464183505943</c:v>
                </c:pt>
                <c:pt idx="72">
                  <c:v>17.488452857984417</c:v>
                </c:pt>
                <c:pt idx="73">
                  <c:v>17.323728288135676</c:v>
                </c:pt>
                <c:pt idx="74">
                  <c:v>16.736200744679255</c:v>
                </c:pt>
                <c:pt idx="75">
                  <c:v>16.414523347319033</c:v>
                </c:pt>
                <c:pt idx="76">
                  <c:v>16.782104927594343</c:v>
                </c:pt>
                <c:pt idx="77">
                  <c:v>16.63671193756408</c:v>
                </c:pt>
                <c:pt idx="78">
                  <c:v>16.90614852915261</c:v>
                </c:pt>
                <c:pt idx="79">
                  <c:v>17.091112032772457</c:v>
                </c:pt>
                <c:pt idx="80">
                  <c:v>18.166477451101027</c:v>
                </c:pt>
                <c:pt idx="81">
                  <c:v>17.490489910690869</c:v>
                </c:pt>
                <c:pt idx="82">
                  <c:v>17.328620184406258</c:v>
                </c:pt>
                <c:pt idx="83">
                  <c:v>17.393180471028341</c:v>
                </c:pt>
                <c:pt idx="84">
                  <c:v>18.066157125849969</c:v>
                </c:pt>
                <c:pt idx="85">
                  <c:v>18.450387047056726</c:v>
                </c:pt>
                <c:pt idx="86">
                  <c:v>18.344307060018611</c:v>
                </c:pt>
                <c:pt idx="87">
                  <c:v>18.958721453036343</c:v>
                </c:pt>
                <c:pt idx="88">
                  <c:v>18.9144143726861</c:v>
                </c:pt>
                <c:pt idx="89">
                  <c:v>19.021825308729806</c:v>
                </c:pt>
                <c:pt idx="90">
                  <c:v>18.991539909524718</c:v>
                </c:pt>
                <c:pt idx="91">
                  <c:v>19.245554584389573</c:v>
                </c:pt>
                <c:pt idx="92">
                  <c:v>17.977158058509318</c:v>
                </c:pt>
                <c:pt idx="93">
                  <c:v>17.396957594553353</c:v>
                </c:pt>
                <c:pt idx="94">
                  <c:v>17.515520038598947</c:v>
                </c:pt>
                <c:pt idx="95">
                  <c:v>17.588874977287887</c:v>
                </c:pt>
                <c:pt idx="96">
                  <c:v>17.786269573830243</c:v>
                </c:pt>
                <c:pt idx="97">
                  <c:v>17.55636814259752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'G2.6A'!$D$1</c:f>
              <c:strCache>
                <c:ptCount val="1"/>
                <c:pt idx="0">
                  <c:v>AFP</c:v>
                </c:pt>
              </c:strCache>
            </c:strRef>
          </c:tx>
          <c:marker>
            <c:symbol val="none"/>
          </c:marker>
          <c:cat>
            <c:numRef>
              <c:f>'G2.6A'!$A$62:$A$159</c:f>
              <c:numCache>
                <c:formatCode>mmm\-yy</c:formatCode>
                <c:ptCount val="98"/>
                <c:pt idx="0">
                  <c:v>40178</c:v>
                </c:pt>
                <c:pt idx="1">
                  <c:v>40209</c:v>
                </c:pt>
                <c:pt idx="2">
                  <c:v>40237</c:v>
                </c:pt>
                <c:pt idx="3">
                  <c:v>40268</c:v>
                </c:pt>
                <c:pt idx="4">
                  <c:v>40298</c:v>
                </c:pt>
                <c:pt idx="5">
                  <c:v>40329</c:v>
                </c:pt>
                <c:pt idx="6">
                  <c:v>40359</c:v>
                </c:pt>
                <c:pt idx="7">
                  <c:v>40390</c:v>
                </c:pt>
                <c:pt idx="8">
                  <c:v>40421</c:v>
                </c:pt>
                <c:pt idx="9">
                  <c:v>40451</c:v>
                </c:pt>
                <c:pt idx="10">
                  <c:v>40482</c:v>
                </c:pt>
                <c:pt idx="11">
                  <c:v>40512</c:v>
                </c:pt>
                <c:pt idx="12">
                  <c:v>40543</c:v>
                </c:pt>
                <c:pt idx="13">
                  <c:v>40574</c:v>
                </c:pt>
                <c:pt idx="14">
                  <c:v>40602</c:v>
                </c:pt>
                <c:pt idx="15">
                  <c:v>40633</c:v>
                </c:pt>
                <c:pt idx="16">
                  <c:v>40663</c:v>
                </c:pt>
                <c:pt idx="17">
                  <c:v>40694</c:v>
                </c:pt>
                <c:pt idx="18">
                  <c:v>40724</c:v>
                </c:pt>
                <c:pt idx="19">
                  <c:v>40755</c:v>
                </c:pt>
                <c:pt idx="20">
                  <c:v>40786</c:v>
                </c:pt>
                <c:pt idx="21">
                  <c:v>40816</c:v>
                </c:pt>
                <c:pt idx="22">
                  <c:v>40847</c:v>
                </c:pt>
                <c:pt idx="23">
                  <c:v>40877</c:v>
                </c:pt>
                <c:pt idx="24">
                  <c:v>40908</c:v>
                </c:pt>
                <c:pt idx="25">
                  <c:v>40939</c:v>
                </c:pt>
                <c:pt idx="26">
                  <c:v>40968</c:v>
                </c:pt>
                <c:pt idx="27">
                  <c:v>40999</c:v>
                </c:pt>
                <c:pt idx="28">
                  <c:v>41029</c:v>
                </c:pt>
                <c:pt idx="29">
                  <c:v>41060</c:v>
                </c:pt>
                <c:pt idx="30">
                  <c:v>41090</c:v>
                </c:pt>
                <c:pt idx="31">
                  <c:v>41121</c:v>
                </c:pt>
                <c:pt idx="32">
                  <c:v>41152</c:v>
                </c:pt>
                <c:pt idx="33">
                  <c:v>41182</c:v>
                </c:pt>
                <c:pt idx="34">
                  <c:v>41213</c:v>
                </c:pt>
                <c:pt idx="35">
                  <c:v>41243</c:v>
                </c:pt>
                <c:pt idx="36">
                  <c:v>41274</c:v>
                </c:pt>
                <c:pt idx="37">
                  <c:v>41305</c:v>
                </c:pt>
                <c:pt idx="38">
                  <c:v>41333</c:v>
                </c:pt>
                <c:pt idx="39">
                  <c:v>41364</c:v>
                </c:pt>
                <c:pt idx="40">
                  <c:v>41394</c:v>
                </c:pt>
                <c:pt idx="41">
                  <c:v>41425</c:v>
                </c:pt>
                <c:pt idx="42">
                  <c:v>41455</c:v>
                </c:pt>
                <c:pt idx="43">
                  <c:v>41486</c:v>
                </c:pt>
                <c:pt idx="44">
                  <c:v>41517</c:v>
                </c:pt>
                <c:pt idx="45">
                  <c:v>41547</c:v>
                </c:pt>
                <c:pt idx="46">
                  <c:v>41578</c:v>
                </c:pt>
                <c:pt idx="47">
                  <c:v>41608</c:v>
                </c:pt>
                <c:pt idx="48">
                  <c:v>41639</c:v>
                </c:pt>
                <c:pt idx="49">
                  <c:v>41670</c:v>
                </c:pt>
                <c:pt idx="50">
                  <c:v>41698</c:v>
                </c:pt>
                <c:pt idx="51">
                  <c:v>41729</c:v>
                </c:pt>
                <c:pt idx="52">
                  <c:v>41759</c:v>
                </c:pt>
                <c:pt idx="53">
                  <c:v>41790</c:v>
                </c:pt>
                <c:pt idx="54">
                  <c:v>41820</c:v>
                </c:pt>
                <c:pt idx="55">
                  <c:v>41851</c:v>
                </c:pt>
                <c:pt idx="56">
                  <c:v>41882</c:v>
                </c:pt>
                <c:pt idx="57">
                  <c:v>41912</c:v>
                </c:pt>
                <c:pt idx="58">
                  <c:v>41942</c:v>
                </c:pt>
                <c:pt idx="59">
                  <c:v>41973</c:v>
                </c:pt>
                <c:pt idx="60">
                  <c:v>42003</c:v>
                </c:pt>
                <c:pt idx="61">
                  <c:v>42034</c:v>
                </c:pt>
                <c:pt idx="62">
                  <c:v>42063</c:v>
                </c:pt>
                <c:pt idx="63">
                  <c:v>42093</c:v>
                </c:pt>
                <c:pt idx="64">
                  <c:v>42124</c:v>
                </c:pt>
                <c:pt idx="65">
                  <c:v>42154</c:v>
                </c:pt>
                <c:pt idx="66">
                  <c:v>42185</c:v>
                </c:pt>
                <c:pt idx="67">
                  <c:v>42215</c:v>
                </c:pt>
                <c:pt idx="68">
                  <c:v>42246</c:v>
                </c:pt>
                <c:pt idx="69">
                  <c:v>42277</c:v>
                </c:pt>
                <c:pt idx="70">
                  <c:v>42307</c:v>
                </c:pt>
                <c:pt idx="71">
                  <c:v>42338</c:v>
                </c:pt>
                <c:pt idx="72">
                  <c:v>42368</c:v>
                </c:pt>
                <c:pt idx="73">
                  <c:v>42370</c:v>
                </c:pt>
                <c:pt idx="74">
                  <c:v>42401</c:v>
                </c:pt>
                <c:pt idx="75">
                  <c:v>42430</c:v>
                </c:pt>
                <c:pt idx="76">
                  <c:v>42461</c:v>
                </c:pt>
                <c:pt idx="77">
                  <c:v>42491</c:v>
                </c:pt>
                <c:pt idx="78">
                  <c:v>42522</c:v>
                </c:pt>
                <c:pt idx="79">
                  <c:v>42552</c:v>
                </c:pt>
                <c:pt idx="80">
                  <c:v>42583</c:v>
                </c:pt>
                <c:pt idx="81">
                  <c:v>42614</c:v>
                </c:pt>
                <c:pt idx="82">
                  <c:v>42644</c:v>
                </c:pt>
                <c:pt idx="83">
                  <c:v>42675</c:v>
                </c:pt>
                <c:pt idx="84">
                  <c:v>42705</c:v>
                </c:pt>
                <c:pt idx="85">
                  <c:v>42736</c:v>
                </c:pt>
                <c:pt idx="86">
                  <c:v>42767</c:v>
                </c:pt>
                <c:pt idx="87">
                  <c:v>42795</c:v>
                </c:pt>
                <c:pt idx="88">
                  <c:v>42826</c:v>
                </c:pt>
                <c:pt idx="89">
                  <c:v>42856</c:v>
                </c:pt>
                <c:pt idx="90">
                  <c:v>42887</c:v>
                </c:pt>
                <c:pt idx="91">
                  <c:v>42917</c:v>
                </c:pt>
                <c:pt idx="92">
                  <c:v>42948</c:v>
                </c:pt>
                <c:pt idx="93">
                  <c:v>42979</c:v>
                </c:pt>
                <c:pt idx="94">
                  <c:v>43009</c:v>
                </c:pt>
                <c:pt idx="95">
                  <c:v>43040</c:v>
                </c:pt>
                <c:pt idx="96">
                  <c:v>43070</c:v>
                </c:pt>
                <c:pt idx="97">
                  <c:v>43101</c:v>
                </c:pt>
              </c:numCache>
            </c:numRef>
          </c:cat>
          <c:val>
            <c:numRef>
              <c:f>'G2.6A'!$D$62:$D$159</c:f>
              <c:numCache>
                <c:formatCode>0.00</c:formatCode>
                <c:ptCount val="98"/>
                <c:pt idx="0">
                  <c:v>26.39030929660499</c:v>
                </c:pt>
                <c:pt idx="1">
                  <c:v>24.712819359597095</c:v>
                </c:pt>
                <c:pt idx="2">
                  <c:v>24.034723116074115</c:v>
                </c:pt>
                <c:pt idx="3">
                  <c:v>23.678061053040818</c:v>
                </c:pt>
                <c:pt idx="4">
                  <c:v>23.122272159388622</c:v>
                </c:pt>
                <c:pt idx="5">
                  <c:v>22.275738486917536</c:v>
                </c:pt>
                <c:pt idx="6">
                  <c:v>22.322275229713682</c:v>
                </c:pt>
                <c:pt idx="7">
                  <c:v>22.90183304427303</c:v>
                </c:pt>
                <c:pt idx="8">
                  <c:v>22.643979968182702</c:v>
                </c:pt>
                <c:pt idx="9">
                  <c:v>22.374440638741596</c:v>
                </c:pt>
                <c:pt idx="10">
                  <c:v>22.690017177890674</c:v>
                </c:pt>
                <c:pt idx="11">
                  <c:v>20.779737033183721</c:v>
                </c:pt>
                <c:pt idx="12">
                  <c:v>20.200255147897678</c:v>
                </c:pt>
                <c:pt idx="13">
                  <c:v>19.998575745189758</c:v>
                </c:pt>
                <c:pt idx="14">
                  <c:v>19.5436662351145</c:v>
                </c:pt>
                <c:pt idx="15">
                  <c:v>18.44775762528095</c:v>
                </c:pt>
                <c:pt idx="16">
                  <c:v>17.812505852706956</c:v>
                </c:pt>
                <c:pt idx="17">
                  <c:v>18.067221059465034</c:v>
                </c:pt>
                <c:pt idx="18">
                  <c:v>17.197483064826226</c:v>
                </c:pt>
                <c:pt idx="19">
                  <c:v>15.518078849953787</c:v>
                </c:pt>
                <c:pt idx="20">
                  <c:v>14.390372715680172</c:v>
                </c:pt>
                <c:pt idx="21">
                  <c:v>13.10659958113572</c:v>
                </c:pt>
                <c:pt idx="22">
                  <c:v>12.676156295307548</c:v>
                </c:pt>
                <c:pt idx="23">
                  <c:v>13.236666981186193</c:v>
                </c:pt>
                <c:pt idx="24">
                  <c:v>13.109520317062614</c:v>
                </c:pt>
                <c:pt idx="25">
                  <c:v>13.627739935264813</c:v>
                </c:pt>
                <c:pt idx="26">
                  <c:v>14.490849121514634</c:v>
                </c:pt>
                <c:pt idx="27">
                  <c:v>15.085317579401453</c:v>
                </c:pt>
                <c:pt idx="28">
                  <c:v>15.566254637182681</c:v>
                </c:pt>
                <c:pt idx="29">
                  <c:v>14.542037349963257</c:v>
                </c:pt>
                <c:pt idx="30">
                  <c:v>14.365352964029407</c:v>
                </c:pt>
                <c:pt idx="31">
                  <c:v>14.692717274547535</c:v>
                </c:pt>
                <c:pt idx="32">
                  <c:v>14.896208712355689</c:v>
                </c:pt>
                <c:pt idx="33">
                  <c:v>15.493569313389829</c:v>
                </c:pt>
                <c:pt idx="34">
                  <c:v>16.180834093759021</c:v>
                </c:pt>
                <c:pt idx="35">
                  <c:v>16.340317452875489</c:v>
                </c:pt>
                <c:pt idx="36">
                  <c:v>16.174869792336725</c:v>
                </c:pt>
                <c:pt idx="37">
                  <c:v>17.050106080431956</c:v>
                </c:pt>
                <c:pt idx="38">
                  <c:v>17.022076157520612</c:v>
                </c:pt>
                <c:pt idx="39">
                  <c:v>16.388276831750321</c:v>
                </c:pt>
                <c:pt idx="40">
                  <c:v>15.013337014619754</c:v>
                </c:pt>
                <c:pt idx="41">
                  <c:v>14.303998652288868</c:v>
                </c:pt>
                <c:pt idx="42">
                  <c:v>12.879937571183959</c:v>
                </c:pt>
                <c:pt idx="43">
                  <c:v>12.814421874103715</c:v>
                </c:pt>
                <c:pt idx="44">
                  <c:v>12.410125044203173</c:v>
                </c:pt>
                <c:pt idx="45">
                  <c:v>12.276173253877262</c:v>
                </c:pt>
                <c:pt idx="46">
                  <c:v>11.789195306038309</c:v>
                </c:pt>
                <c:pt idx="47">
                  <c:v>10.897452064040662</c:v>
                </c:pt>
                <c:pt idx="48">
                  <c:v>10.326662441219803</c:v>
                </c:pt>
                <c:pt idx="49">
                  <c:v>8.1545038515384505</c:v>
                </c:pt>
                <c:pt idx="50">
                  <c:v>8.0723639442951232</c:v>
                </c:pt>
                <c:pt idx="51">
                  <c:v>10.005397438382468</c:v>
                </c:pt>
                <c:pt idx="52">
                  <c:v>11.121311949643394</c:v>
                </c:pt>
                <c:pt idx="53">
                  <c:v>12.0338259632428</c:v>
                </c:pt>
                <c:pt idx="54">
                  <c:v>13.841282968814816</c:v>
                </c:pt>
                <c:pt idx="55">
                  <c:v>13.720524333774858</c:v>
                </c:pt>
                <c:pt idx="56">
                  <c:v>14.611250608374956</c:v>
                </c:pt>
                <c:pt idx="57">
                  <c:v>13.790803799372014</c:v>
                </c:pt>
                <c:pt idx="58">
                  <c:v>13.801980060640384</c:v>
                </c:pt>
                <c:pt idx="59">
                  <c:v>14.956334768665741</c:v>
                </c:pt>
                <c:pt idx="60">
                  <c:v>15.899069138932637</c:v>
                </c:pt>
                <c:pt idx="61">
                  <c:v>16.898947341970537</c:v>
                </c:pt>
                <c:pt idx="62">
                  <c:v>17.15948195411611</c:v>
                </c:pt>
                <c:pt idx="63">
                  <c:v>15.615532016984131</c:v>
                </c:pt>
                <c:pt idx="64">
                  <c:v>15.641398514313689</c:v>
                </c:pt>
                <c:pt idx="65">
                  <c:v>15.576964121904139</c:v>
                </c:pt>
                <c:pt idx="66">
                  <c:v>15.015807607716901</c:v>
                </c:pt>
                <c:pt idx="67">
                  <c:v>16.058559347798766</c:v>
                </c:pt>
                <c:pt idx="68">
                  <c:v>14.230272701094288</c:v>
                </c:pt>
                <c:pt idx="69">
                  <c:v>13.914598402746897</c:v>
                </c:pt>
                <c:pt idx="70">
                  <c:v>14.163950289644326</c:v>
                </c:pt>
                <c:pt idx="71">
                  <c:v>13.812349436101126</c:v>
                </c:pt>
                <c:pt idx="72">
                  <c:v>13.013086451466002</c:v>
                </c:pt>
                <c:pt idx="73">
                  <c:v>12.792408112521517</c:v>
                </c:pt>
                <c:pt idx="74">
                  <c:v>12.339290459723735</c:v>
                </c:pt>
                <c:pt idx="75">
                  <c:v>13.30464667361661</c:v>
                </c:pt>
                <c:pt idx="76">
                  <c:v>13.027254152680609</c:v>
                </c:pt>
                <c:pt idx="77">
                  <c:v>13.555473077888347</c:v>
                </c:pt>
                <c:pt idx="78">
                  <c:v>13.490130640769889</c:v>
                </c:pt>
                <c:pt idx="79">
                  <c:v>12.850819555937601</c:v>
                </c:pt>
                <c:pt idx="80">
                  <c:v>14.116747049298194</c:v>
                </c:pt>
                <c:pt idx="81">
                  <c:v>14.764154721494084</c:v>
                </c:pt>
                <c:pt idx="82">
                  <c:v>14.428554007972163</c:v>
                </c:pt>
                <c:pt idx="83">
                  <c:v>14.336021708917833</c:v>
                </c:pt>
                <c:pt idx="84">
                  <c:v>14.845491737107558</c:v>
                </c:pt>
                <c:pt idx="85">
                  <c:v>15.443597291277337</c:v>
                </c:pt>
                <c:pt idx="86">
                  <c:v>15.500713640042118</c:v>
                </c:pt>
                <c:pt idx="87">
                  <c:v>15.012890707658311</c:v>
                </c:pt>
                <c:pt idx="88">
                  <c:v>15.584052736681897</c:v>
                </c:pt>
                <c:pt idx="89">
                  <c:v>15.956198248769892</c:v>
                </c:pt>
                <c:pt idx="90">
                  <c:v>16.467477494562228</c:v>
                </c:pt>
                <c:pt idx="91">
                  <c:v>16.184750404812203</c:v>
                </c:pt>
                <c:pt idx="92">
                  <c:v>15.681682987933964</c:v>
                </c:pt>
                <c:pt idx="93">
                  <c:v>15.968888411606866</c:v>
                </c:pt>
                <c:pt idx="94">
                  <c:v>15.908459553654044</c:v>
                </c:pt>
                <c:pt idx="95">
                  <c:v>15.973913386798099</c:v>
                </c:pt>
                <c:pt idx="96">
                  <c:v>16.506569687076144</c:v>
                </c:pt>
                <c:pt idx="97">
                  <c:v>16.462394324377762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19472"/>
        <c:axId val="245600784"/>
      </c:lineChart>
      <c:lineChart>
        <c:grouping val="standard"/>
        <c:varyColors val="0"/>
        <c:ser>
          <c:idx val="0"/>
          <c:order val="0"/>
          <c:tx>
            <c:strRef>
              <c:f>'G2.6A'!$B$1</c:f>
              <c:strCache>
                <c:ptCount val="1"/>
                <c:pt idx="0">
                  <c:v>SCB (eje derecho)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'G2.6A'!$A$62:$A$159</c:f>
              <c:numCache>
                <c:formatCode>mmm\-yy</c:formatCode>
                <c:ptCount val="98"/>
                <c:pt idx="0">
                  <c:v>40178</c:v>
                </c:pt>
                <c:pt idx="1">
                  <c:v>40209</c:v>
                </c:pt>
                <c:pt idx="2">
                  <c:v>40237</c:v>
                </c:pt>
                <c:pt idx="3">
                  <c:v>40268</c:v>
                </c:pt>
                <c:pt idx="4">
                  <c:v>40298</c:v>
                </c:pt>
                <c:pt idx="5">
                  <c:v>40329</c:v>
                </c:pt>
                <c:pt idx="6">
                  <c:v>40359</c:v>
                </c:pt>
                <c:pt idx="7">
                  <c:v>40390</c:v>
                </c:pt>
                <c:pt idx="8">
                  <c:v>40421</c:v>
                </c:pt>
                <c:pt idx="9">
                  <c:v>40451</c:v>
                </c:pt>
                <c:pt idx="10">
                  <c:v>40482</c:v>
                </c:pt>
                <c:pt idx="11">
                  <c:v>40512</c:v>
                </c:pt>
                <c:pt idx="12">
                  <c:v>40543</c:v>
                </c:pt>
                <c:pt idx="13">
                  <c:v>40574</c:v>
                </c:pt>
                <c:pt idx="14">
                  <c:v>40602</c:v>
                </c:pt>
                <c:pt idx="15">
                  <c:v>40633</c:v>
                </c:pt>
                <c:pt idx="16">
                  <c:v>40663</c:v>
                </c:pt>
                <c:pt idx="17">
                  <c:v>40694</c:v>
                </c:pt>
                <c:pt idx="18">
                  <c:v>40724</c:v>
                </c:pt>
                <c:pt idx="19">
                  <c:v>40755</c:v>
                </c:pt>
                <c:pt idx="20">
                  <c:v>40786</c:v>
                </c:pt>
                <c:pt idx="21">
                  <c:v>40816</c:v>
                </c:pt>
                <c:pt idx="22">
                  <c:v>40847</c:v>
                </c:pt>
                <c:pt idx="23">
                  <c:v>40877</c:v>
                </c:pt>
                <c:pt idx="24">
                  <c:v>40908</c:v>
                </c:pt>
                <c:pt idx="25">
                  <c:v>40939</c:v>
                </c:pt>
                <c:pt idx="26">
                  <c:v>40968</c:v>
                </c:pt>
                <c:pt idx="27">
                  <c:v>40999</c:v>
                </c:pt>
                <c:pt idx="28">
                  <c:v>41029</c:v>
                </c:pt>
                <c:pt idx="29">
                  <c:v>41060</c:v>
                </c:pt>
                <c:pt idx="30">
                  <c:v>41090</c:v>
                </c:pt>
                <c:pt idx="31">
                  <c:v>41121</c:v>
                </c:pt>
                <c:pt idx="32">
                  <c:v>41152</c:v>
                </c:pt>
                <c:pt idx="33">
                  <c:v>41182</c:v>
                </c:pt>
                <c:pt idx="34">
                  <c:v>41213</c:v>
                </c:pt>
                <c:pt idx="35">
                  <c:v>41243</c:v>
                </c:pt>
                <c:pt idx="36">
                  <c:v>41274</c:v>
                </c:pt>
                <c:pt idx="37">
                  <c:v>41305</c:v>
                </c:pt>
                <c:pt idx="38">
                  <c:v>41333</c:v>
                </c:pt>
                <c:pt idx="39">
                  <c:v>41364</c:v>
                </c:pt>
                <c:pt idx="40">
                  <c:v>41394</c:v>
                </c:pt>
                <c:pt idx="41">
                  <c:v>41425</c:v>
                </c:pt>
                <c:pt idx="42">
                  <c:v>41455</c:v>
                </c:pt>
                <c:pt idx="43">
                  <c:v>41486</c:v>
                </c:pt>
                <c:pt idx="44">
                  <c:v>41517</c:v>
                </c:pt>
                <c:pt idx="45">
                  <c:v>41547</c:v>
                </c:pt>
                <c:pt idx="46">
                  <c:v>41578</c:v>
                </c:pt>
                <c:pt idx="47">
                  <c:v>41608</c:v>
                </c:pt>
                <c:pt idx="48">
                  <c:v>41639</c:v>
                </c:pt>
                <c:pt idx="49">
                  <c:v>41670</c:v>
                </c:pt>
                <c:pt idx="50">
                  <c:v>41698</c:v>
                </c:pt>
                <c:pt idx="51">
                  <c:v>41729</c:v>
                </c:pt>
                <c:pt idx="52">
                  <c:v>41759</c:v>
                </c:pt>
                <c:pt idx="53">
                  <c:v>41790</c:v>
                </c:pt>
                <c:pt idx="54">
                  <c:v>41820</c:v>
                </c:pt>
                <c:pt idx="55">
                  <c:v>41851</c:v>
                </c:pt>
                <c:pt idx="56">
                  <c:v>41882</c:v>
                </c:pt>
                <c:pt idx="57">
                  <c:v>41912</c:v>
                </c:pt>
                <c:pt idx="58">
                  <c:v>41942</c:v>
                </c:pt>
                <c:pt idx="59">
                  <c:v>41973</c:v>
                </c:pt>
                <c:pt idx="60">
                  <c:v>42003</c:v>
                </c:pt>
                <c:pt idx="61">
                  <c:v>42034</c:v>
                </c:pt>
                <c:pt idx="62">
                  <c:v>42063</c:v>
                </c:pt>
                <c:pt idx="63">
                  <c:v>42093</c:v>
                </c:pt>
                <c:pt idx="64">
                  <c:v>42124</c:v>
                </c:pt>
                <c:pt idx="65">
                  <c:v>42154</c:v>
                </c:pt>
                <c:pt idx="66">
                  <c:v>42185</c:v>
                </c:pt>
                <c:pt idx="67">
                  <c:v>42215</c:v>
                </c:pt>
                <c:pt idx="68">
                  <c:v>42246</c:v>
                </c:pt>
                <c:pt idx="69">
                  <c:v>42277</c:v>
                </c:pt>
                <c:pt idx="70">
                  <c:v>42307</c:v>
                </c:pt>
                <c:pt idx="71">
                  <c:v>42338</c:v>
                </c:pt>
                <c:pt idx="72">
                  <c:v>42368</c:v>
                </c:pt>
                <c:pt idx="73">
                  <c:v>42370</c:v>
                </c:pt>
                <c:pt idx="74">
                  <c:v>42401</c:v>
                </c:pt>
                <c:pt idx="75">
                  <c:v>42430</c:v>
                </c:pt>
                <c:pt idx="76">
                  <c:v>42461</c:v>
                </c:pt>
                <c:pt idx="77">
                  <c:v>42491</c:v>
                </c:pt>
                <c:pt idx="78">
                  <c:v>42522</c:v>
                </c:pt>
                <c:pt idx="79">
                  <c:v>42552</c:v>
                </c:pt>
                <c:pt idx="80">
                  <c:v>42583</c:v>
                </c:pt>
                <c:pt idx="81">
                  <c:v>42614</c:v>
                </c:pt>
                <c:pt idx="82">
                  <c:v>42644</c:v>
                </c:pt>
                <c:pt idx="83">
                  <c:v>42675</c:v>
                </c:pt>
                <c:pt idx="84">
                  <c:v>42705</c:v>
                </c:pt>
                <c:pt idx="85">
                  <c:v>42736</c:v>
                </c:pt>
                <c:pt idx="86">
                  <c:v>42767</c:v>
                </c:pt>
                <c:pt idx="87">
                  <c:v>42795</c:v>
                </c:pt>
                <c:pt idx="88">
                  <c:v>42826</c:v>
                </c:pt>
                <c:pt idx="89">
                  <c:v>42856</c:v>
                </c:pt>
                <c:pt idx="90">
                  <c:v>42887</c:v>
                </c:pt>
                <c:pt idx="91">
                  <c:v>42917</c:v>
                </c:pt>
                <c:pt idx="92">
                  <c:v>42948</c:v>
                </c:pt>
                <c:pt idx="93">
                  <c:v>42979</c:v>
                </c:pt>
                <c:pt idx="94">
                  <c:v>43009</c:v>
                </c:pt>
                <c:pt idx="95">
                  <c:v>43040</c:v>
                </c:pt>
                <c:pt idx="96">
                  <c:v>43070</c:v>
                </c:pt>
                <c:pt idx="97">
                  <c:v>43101</c:v>
                </c:pt>
              </c:numCache>
            </c:numRef>
          </c:cat>
          <c:val>
            <c:numRef>
              <c:f>'G2.6A'!$B$62:$B$159</c:f>
              <c:numCache>
                <c:formatCode>0.00</c:formatCode>
                <c:ptCount val="98"/>
                <c:pt idx="0">
                  <c:v>3.1799674034681513</c:v>
                </c:pt>
                <c:pt idx="1">
                  <c:v>2.823189069991761</c:v>
                </c:pt>
                <c:pt idx="2">
                  <c:v>2.832422944686682</c:v>
                </c:pt>
                <c:pt idx="3">
                  <c:v>2.8276735413148018</c:v>
                </c:pt>
                <c:pt idx="4">
                  <c:v>2.5290055049708484</c:v>
                </c:pt>
                <c:pt idx="5">
                  <c:v>2.456949097545694</c:v>
                </c:pt>
                <c:pt idx="6">
                  <c:v>2.6251868335169104</c:v>
                </c:pt>
                <c:pt idx="7">
                  <c:v>2.6299082126376772</c:v>
                </c:pt>
                <c:pt idx="8">
                  <c:v>2.9730997452152077</c:v>
                </c:pt>
                <c:pt idx="9">
                  <c:v>2.8490169491357356</c:v>
                </c:pt>
                <c:pt idx="10">
                  <c:v>2.9625232793502123</c:v>
                </c:pt>
                <c:pt idx="11">
                  <c:v>2.660729414862542</c:v>
                </c:pt>
                <c:pt idx="12">
                  <c:v>2.7815289941104595</c:v>
                </c:pt>
                <c:pt idx="13">
                  <c:v>2.6376086720410958</c:v>
                </c:pt>
                <c:pt idx="14">
                  <c:v>2.2875472971045339</c:v>
                </c:pt>
                <c:pt idx="15">
                  <c:v>2.4383882505224088</c:v>
                </c:pt>
                <c:pt idx="16">
                  <c:v>2.3751381518125934</c:v>
                </c:pt>
                <c:pt idx="17">
                  <c:v>2.5370128009746162</c:v>
                </c:pt>
                <c:pt idx="18">
                  <c:v>2.6327244374459129</c:v>
                </c:pt>
                <c:pt idx="19">
                  <c:v>2.425116708471466</c:v>
                </c:pt>
                <c:pt idx="20">
                  <c:v>2.1137279228313872</c:v>
                </c:pt>
                <c:pt idx="21">
                  <c:v>1.8996971011974335</c:v>
                </c:pt>
                <c:pt idx="22">
                  <c:v>1.7291691443534101</c:v>
                </c:pt>
                <c:pt idx="23">
                  <c:v>1.6466458204118468</c:v>
                </c:pt>
                <c:pt idx="24">
                  <c:v>1.7344434436542948</c:v>
                </c:pt>
                <c:pt idx="25">
                  <c:v>2.0384414523972834</c:v>
                </c:pt>
                <c:pt idx="26">
                  <c:v>2.2068079334854458</c:v>
                </c:pt>
                <c:pt idx="27">
                  <c:v>1.9906761325595059</c:v>
                </c:pt>
                <c:pt idx="28">
                  <c:v>1.889105418463769</c:v>
                </c:pt>
                <c:pt idx="29">
                  <c:v>1.623881900123431</c:v>
                </c:pt>
                <c:pt idx="30">
                  <c:v>1.3568842137026782</c:v>
                </c:pt>
                <c:pt idx="31">
                  <c:v>1.4799848704127743</c:v>
                </c:pt>
                <c:pt idx="32">
                  <c:v>1.55081272270458</c:v>
                </c:pt>
                <c:pt idx="33">
                  <c:v>1.7166443208176425</c:v>
                </c:pt>
                <c:pt idx="34">
                  <c:v>1.3152828286001799</c:v>
                </c:pt>
                <c:pt idx="35">
                  <c:v>1.4323408302770408</c:v>
                </c:pt>
                <c:pt idx="36">
                  <c:v>1.1103533874529878</c:v>
                </c:pt>
                <c:pt idx="37">
                  <c:v>1.169005606103767</c:v>
                </c:pt>
                <c:pt idx="38">
                  <c:v>1.3116156691450405</c:v>
                </c:pt>
                <c:pt idx="39">
                  <c:v>1.4135197812994247</c:v>
                </c:pt>
                <c:pt idx="40">
                  <c:v>1.5003705179651057</c:v>
                </c:pt>
                <c:pt idx="41">
                  <c:v>1.6922127612995255</c:v>
                </c:pt>
                <c:pt idx="42">
                  <c:v>1.6406102676496543</c:v>
                </c:pt>
                <c:pt idx="43">
                  <c:v>1.4704144914939736</c:v>
                </c:pt>
                <c:pt idx="44">
                  <c:v>1.3711004541717333</c:v>
                </c:pt>
                <c:pt idx="45">
                  <c:v>1.3751329477056833</c:v>
                </c:pt>
                <c:pt idx="46">
                  <c:v>1.8164673081430953</c:v>
                </c:pt>
                <c:pt idx="47">
                  <c:v>1.7421995491213675</c:v>
                </c:pt>
                <c:pt idx="48">
                  <c:v>2.3740550416834445</c:v>
                </c:pt>
                <c:pt idx="49">
                  <c:v>2.1584073280503415</c:v>
                </c:pt>
                <c:pt idx="50">
                  <c:v>1.932853362418028</c:v>
                </c:pt>
                <c:pt idx="51">
                  <c:v>2.0474023406748123</c:v>
                </c:pt>
                <c:pt idx="52">
                  <c:v>2.0827301876190187</c:v>
                </c:pt>
                <c:pt idx="53">
                  <c:v>1.8686667621811268</c:v>
                </c:pt>
                <c:pt idx="54">
                  <c:v>2.0074939231561495</c:v>
                </c:pt>
                <c:pt idx="55">
                  <c:v>2.0825883628924222</c:v>
                </c:pt>
                <c:pt idx="56">
                  <c:v>2.3507859734673242</c:v>
                </c:pt>
                <c:pt idx="57">
                  <c:v>2.3592841376133684</c:v>
                </c:pt>
                <c:pt idx="58">
                  <c:v>2.3625222070652412</c:v>
                </c:pt>
                <c:pt idx="59">
                  <c:v>2.2265423627505498</c:v>
                </c:pt>
                <c:pt idx="60">
                  <c:v>2.0987163351844145</c:v>
                </c:pt>
                <c:pt idx="61">
                  <c:v>2.1864737042890914</c:v>
                </c:pt>
                <c:pt idx="62">
                  <c:v>2.1889899616645541</c:v>
                </c:pt>
                <c:pt idx="63">
                  <c:v>2.0153087051893772</c:v>
                </c:pt>
                <c:pt idx="64">
                  <c:v>2.0561811412978317</c:v>
                </c:pt>
                <c:pt idx="65">
                  <c:v>1.8669996868604335</c:v>
                </c:pt>
                <c:pt idx="66">
                  <c:v>1.8853712951376136</c:v>
                </c:pt>
                <c:pt idx="67">
                  <c:v>1.9164910551202423</c:v>
                </c:pt>
                <c:pt idx="68">
                  <c:v>1.6596009308455537</c:v>
                </c:pt>
                <c:pt idx="69">
                  <c:v>1.4556951455481779</c:v>
                </c:pt>
                <c:pt idx="70">
                  <c:v>1.3539146071583088</c:v>
                </c:pt>
                <c:pt idx="71">
                  <c:v>1.4689714014203463</c:v>
                </c:pt>
                <c:pt idx="72">
                  <c:v>1.218485478237564</c:v>
                </c:pt>
                <c:pt idx="73">
                  <c:v>1.1187140220788205</c:v>
                </c:pt>
                <c:pt idx="74">
                  <c:v>1.2569814112366187</c:v>
                </c:pt>
                <c:pt idx="75">
                  <c:v>1.1484789716034718</c:v>
                </c:pt>
                <c:pt idx="76">
                  <c:v>1.1627797761855425</c:v>
                </c:pt>
                <c:pt idx="77">
                  <c:v>1.4367611973427308</c:v>
                </c:pt>
                <c:pt idx="78">
                  <c:v>1.5447299854019643</c:v>
                </c:pt>
                <c:pt idx="79">
                  <c:v>2.060619069874809</c:v>
                </c:pt>
                <c:pt idx="80">
                  <c:v>2.2655287111083307</c:v>
                </c:pt>
                <c:pt idx="81">
                  <c:v>2.6401759839139407</c:v>
                </c:pt>
                <c:pt idx="82">
                  <c:v>2.6497311864921458</c:v>
                </c:pt>
                <c:pt idx="83">
                  <c:v>2.5374230994710372</c:v>
                </c:pt>
                <c:pt idx="84">
                  <c:v>2.8967155832218796</c:v>
                </c:pt>
                <c:pt idx="85">
                  <c:v>3.0224157505147926</c:v>
                </c:pt>
                <c:pt idx="86">
                  <c:v>2.7364661200749576</c:v>
                </c:pt>
                <c:pt idx="87">
                  <c:v>2.7927492990940275</c:v>
                </c:pt>
                <c:pt idx="88">
                  <c:v>2.6229683251535874</c:v>
                </c:pt>
                <c:pt idx="89">
                  <c:v>2.6719530533705842</c:v>
                </c:pt>
                <c:pt idx="90">
                  <c:v>2.6837172565735674</c:v>
                </c:pt>
                <c:pt idx="91">
                  <c:v>2.2541077800986757</c:v>
                </c:pt>
                <c:pt idx="92">
                  <c:v>2.1768890529070037</c:v>
                </c:pt>
                <c:pt idx="93">
                  <c:v>2.1575465629933102</c:v>
                </c:pt>
                <c:pt idx="94">
                  <c:v>2.9606650764726203</c:v>
                </c:pt>
                <c:pt idx="95">
                  <c:v>2.5855603753646998</c:v>
                </c:pt>
                <c:pt idx="96">
                  <c:v>2.5565978431762373</c:v>
                </c:pt>
                <c:pt idx="97">
                  <c:v>2.372666453429602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20656"/>
        <c:axId val="245602656"/>
      </c:lineChart>
      <c:dateAx>
        <c:axId val="241419472"/>
        <c:scaling>
          <c:orientation val="minMax"/>
          <c:min val="40209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/>
        </c:spPr>
        <c:crossAx val="2456007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45600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7910986344423915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/>
        </c:spPr>
        <c:crossAx val="241419472"/>
        <c:crosses val="autoZero"/>
        <c:crossBetween val="between"/>
        <c:minorUnit val="1"/>
      </c:valAx>
      <c:valAx>
        <c:axId val="245602656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848729165209604"/>
              <c:y val="1.5232727947208103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/>
        </c:spPr>
        <c:crossAx val="241420656"/>
        <c:crosses val="max"/>
        <c:crossBetween val="between"/>
        <c:majorUnit val="2"/>
        <c:minorUnit val="2"/>
      </c:valAx>
      <c:dateAx>
        <c:axId val="2414206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45602656"/>
        <c:crosses val="autoZero"/>
        <c:auto val="1"/>
        <c:lblOffset val="100"/>
        <c:baseTimeUnit val="days"/>
      </c:date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66001503766343E-2"/>
          <c:y val="0.10498749342050674"/>
          <c:w val="0.88272250310275491"/>
          <c:h val="0.72006791338065312"/>
        </c:manualLayout>
      </c:layout>
      <c:lineChart>
        <c:grouping val="standard"/>
        <c:varyColors val="0"/>
        <c:ser>
          <c:idx val="1"/>
          <c:order val="0"/>
          <c:tx>
            <c:strRef>
              <c:f>'G2.6B'!$C$1</c:f>
              <c:strCache>
                <c:ptCount val="1"/>
                <c:pt idx="0">
                  <c:v>Seguros de vida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'G2.6B'!$A$2:$A$75</c:f>
              <c:numCache>
                <c:formatCode>mmm\-yy</c:formatCode>
                <c:ptCount val="74"/>
                <c:pt idx="0">
                  <c:v>40908</c:v>
                </c:pt>
                <c:pt idx="1">
                  <c:v>40939</c:v>
                </c:pt>
                <c:pt idx="2">
                  <c:v>40968</c:v>
                </c:pt>
                <c:pt idx="3">
                  <c:v>40999</c:v>
                </c:pt>
                <c:pt idx="4">
                  <c:v>41029</c:v>
                </c:pt>
                <c:pt idx="5">
                  <c:v>41060</c:v>
                </c:pt>
                <c:pt idx="6">
                  <c:v>41090</c:v>
                </c:pt>
                <c:pt idx="7">
                  <c:v>41121</c:v>
                </c:pt>
                <c:pt idx="8">
                  <c:v>41152</c:v>
                </c:pt>
                <c:pt idx="9">
                  <c:v>41182</c:v>
                </c:pt>
                <c:pt idx="10">
                  <c:v>41213</c:v>
                </c:pt>
                <c:pt idx="11">
                  <c:v>41243</c:v>
                </c:pt>
                <c:pt idx="12">
                  <c:v>41274</c:v>
                </c:pt>
                <c:pt idx="13">
                  <c:v>41305</c:v>
                </c:pt>
                <c:pt idx="14">
                  <c:v>41333</c:v>
                </c:pt>
                <c:pt idx="15">
                  <c:v>41364</c:v>
                </c:pt>
                <c:pt idx="16">
                  <c:v>41394</c:v>
                </c:pt>
                <c:pt idx="17">
                  <c:v>41425</c:v>
                </c:pt>
                <c:pt idx="18">
                  <c:v>41455</c:v>
                </c:pt>
                <c:pt idx="19">
                  <c:v>41486</c:v>
                </c:pt>
                <c:pt idx="20">
                  <c:v>41517</c:v>
                </c:pt>
                <c:pt idx="21">
                  <c:v>41547</c:v>
                </c:pt>
                <c:pt idx="22">
                  <c:v>41578</c:v>
                </c:pt>
                <c:pt idx="23">
                  <c:v>41608</c:v>
                </c:pt>
                <c:pt idx="24">
                  <c:v>41639</c:v>
                </c:pt>
                <c:pt idx="25">
                  <c:v>41670</c:v>
                </c:pt>
                <c:pt idx="26">
                  <c:v>41698</c:v>
                </c:pt>
                <c:pt idx="27">
                  <c:v>41729</c:v>
                </c:pt>
                <c:pt idx="28">
                  <c:v>41759</c:v>
                </c:pt>
                <c:pt idx="29">
                  <c:v>41790</c:v>
                </c:pt>
                <c:pt idx="30">
                  <c:v>41820</c:v>
                </c:pt>
                <c:pt idx="31">
                  <c:v>41851</c:v>
                </c:pt>
                <c:pt idx="32">
                  <c:v>41882</c:v>
                </c:pt>
                <c:pt idx="33">
                  <c:v>41912</c:v>
                </c:pt>
                <c:pt idx="34">
                  <c:v>41942</c:v>
                </c:pt>
                <c:pt idx="35">
                  <c:v>41973</c:v>
                </c:pt>
                <c:pt idx="36">
                  <c:v>42003</c:v>
                </c:pt>
                <c:pt idx="37">
                  <c:v>42034</c:v>
                </c:pt>
                <c:pt idx="38">
                  <c:v>42063</c:v>
                </c:pt>
                <c:pt idx="39">
                  <c:v>42093</c:v>
                </c:pt>
                <c:pt idx="40">
                  <c:v>42124</c:v>
                </c:pt>
                <c:pt idx="41">
                  <c:v>42154</c:v>
                </c:pt>
                <c:pt idx="42">
                  <c:v>42185</c:v>
                </c:pt>
                <c:pt idx="43">
                  <c:v>42215</c:v>
                </c:pt>
                <c:pt idx="44">
                  <c:v>42246</c:v>
                </c:pt>
                <c:pt idx="45">
                  <c:v>42277</c:v>
                </c:pt>
                <c:pt idx="46">
                  <c:v>42307</c:v>
                </c:pt>
                <c:pt idx="47">
                  <c:v>42338</c:v>
                </c:pt>
                <c:pt idx="48">
                  <c:v>42368</c:v>
                </c:pt>
                <c:pt idx="49">
                  <c:v>42370</c:v>
                </c:pt>
                <c:pt idx="50">
                  <c:v>42401</c:v>
                </c:pt>
                <c:pt idx="51">
                  <c:v>42430</c:v>
                </c:pt>
                <c:pt idx="52">
                  <c:v>42461</c:v>
                </c:pt>
                <c:pt idx="53">
                  <c:v>42491</c:v>
                </c:pt>
                <c:pt idx="54">
                  <c:v>42522</c:v>
                </c:pt>
                <c:pt idx="55">
                  <c:v>42552</c:v>
                </c:pt>
                <c:pt idx="56">
                  <c:v>42583</c:v>
                </c:pt>
                <c:pt idx="57">
                  <c:v>42614</c:v>
                </c:pt>
                <c:pt idx="58">
                  <c:v>42644</c:v>
                </c:pt>
                <c:pt idx="59">
                  <c:v>42675</c:v>
                </c:pt>
                <c:pt idx="60">
                  <c:v>42705</c:v>
                </c:pt>
                <c:pt idx="61">
                  <c:v>42736</c:v>
                </c:pt>
                <c:pt idx="62">
                  <c:v>42767</c:v>
                </c:pt>
                <c:pt idx="63">
                  <c:v>42795</c:v>
                </c:pt>
                <c:pt idx="64">
                  <c:v>42826</c:v>
                </c:pt>
                <c:pt idx="65">
                  <c:v>42856</c:v>
                </c:pt>
                <c:pt idx="66">
                  <c:v>42887</c:v>
                </c:pt>
                <c:pt idx="67">
                  <c:v>42917</c:v>
                </c:pt>
                <c:pt idx="68">
                  <c:v>42948</c:v>
                </c:pt>
                <c:pt idx="69">
                  <c:v>42979</c:v>
                </c:pt>
                <c:pt idx="70">
                  <c:v>43009</c:v>
                </c:pt>
                <c:pt idx="71">
                  <c:v>43040</c:v>
                </c:pt>
                <c:pt idx="72">
                  <c:v>43070</c:v>
                </c:pt>
                <c:pt idx="73">
                  <c:v>43101</c:v>
                </c:pt>
              </c:numCache>
            </c:numRef>
          </c:cat>
          <c:val>
            <c:numRef>
              <c:f>'G2.6B'!$C$2:$C$75</c:f>
              <c:numCache>
                <c:formatCode>0.00</c:formatCode>
                <c:ptCount val="74"/>
                <c:pt idx="0">
                  <c:v>1.3125102419178938</c:v>
                </c:pt>
                <c:pt idx="1">
                  <c:v>1.8933351397803995</c:v>
                </c:pt>
                <c:pt idx="2">
                  <c:v>1.9563653199088986</c:v>
                </c:pt>
                <c:pt idx="3">
                  <c:v>2.6007575407283419</c:v>
                </c:pt>
                <c:pt idx="4">
                  <c:v>2.8357862831103691</c:v>
                </c:pt>
                <c:pt idx="5">
                  <c:v>2.9671171506602771</c:v>
                </c:pt>
                <c:pt idx="6">
                  <c:v>2.8511150630979523</c:v>
                </c:pt>
                <c:pt idx="7">
                  <c:v>2.5622176947263853</c:v>
                </c:pt>
                <c:pt idx="8">
                  <c:v>2.7504849724712548</c:v>
                </c:pt>
                <c:pt idx="9">
                  <c:v>3.0946552076014009</c:v>
                </c:pt>
                <c:pt idx="10">
                  <c:v>3.1751214261581109</c:v>
                </c:pt>
                <c:pt idx="11">
                  <c:v>3.246634017404662</c:v>
                </c:pt>
                <c:pt idx="12">
                  <c:v>3.4013200387311873</c:v>
                </c:pt>
                <c:pt idx="13">
                  <c:v>3.5070256707723333</c:v>
                </c:pt>
                <c:pt idx="14">
                  <c:v>3.4783317253770321</c:v>
                </c:pt>
                <c:pt idx="15">
                  <c:v>3.3623168315783172</c:v>
                </c:pt>
                <c:pt idx="16">
                  <c:v>3.050968403859827</c:v>
                </c:pt>
                <c:pt idx="17">
                  <c:v>2.9614072589130345</c:v>
                </c:pt>
                <c:pt idx="18">
                  <c:v>2.047343926739599</c:v>
                </c:pt>
                <c:pt idx="19">
                  <c:v>2.0259459040287955</c:v>
                </c:pt>
                <c:pt idx="20">
                  <c:v>1.9551507214957369</c:v>
                </c:pt>
                <c:pt idx="21">
                  <c:v>2.1141975771752111</c:v>
                </c:pt>
                <c:pt idx="22">
                  <c:v>1.978627856703469</c:v>
                </c:pt>
                <c:pt idx="23">
                  <c:v>1.7322215903849787</c:v>
                </c:pt>
                <c:pt idx="24">
                  <c:v>1.3669269473910233</c:v>
                </c:pt>
                <c:pt idx="25">
                  <c:v>0.72240636702489536</c:v>
                </c:pt>
                <c:pt idx="26">
                  <c:v>0.89418990810751964</c:v>
                </c:pt>
                <c:pt idx="27">
                  <c:v>1.3968557257568488</c:v>
                </c:pt>
                <c:pt idx="28">
                  <c:v>1.604436867713718</c:v>
                </c:pt>
                <c:pt idx="29">
                  <c:v>1.6291725203418128</c:v>
                </c:pt>
                <c:pt idx="30">
                  <c:v>2.5550405099347251</c:v>
                </c:pt>
                <c:pt idx="31">
                  <c:v>2.3368656057767816</c:v>
                </c:pt>
                <c:pt idx="32">
                  <c:v>2.7805347593969207</c:v>
                </c:pt>
                <c:pt idx="33">
                  <c:v>2.4773338186351945</c:v>
                </c:pt>
                <c:pt idx="34">
                  <c:v>2.5494132926070043</c:v>
                </c:pt>
                <c:pt idx="35">
                  <c:v>2.9943266107401354</c:v>
                </c:pt>
                <c:pt idx="36">
                  <c:v>3.0499004783601795</c:v>
                </c:pt>
                <c:pt idx="37">
                  <c:v>3.7045076282590612</c:v>
                </c:pt>
                <c:pt idx="38">
                  <c:v>3.5907629622150634</c:v>
                </c:pt>
                <c:pt idx="39">
                  <c:v>3.2745404215656739</c:v>
                </c:pt>
                <c:pt idx="40">
                  <c:v>3.3760989252583387</c:v>
                </c:pt>
                <c:pt idx="41">
                  <c:v>3.5364185373679509</c:v>
                </c:pt>
                <c:pt idx="42">
                  <c:v>3.5584683315182577</c:v>
                </c:pt>
                <c:pt idx="43">
                  <c:v>4.1194704726749665</c:v>
                </c:pt>
                <c:pt idx="44">
                  <c:v>3.6680141274365576</c:v>
                </c:pt>
                <c:pt idx="45">
                  <c:v>3.6400290021491979</c:v>
                </c:pt>
                <c:pt idx="46">
                  <c:v>3.545162909924612</c:v>
                </c:pt>
                <c:pt idx="47">
                  <c:v>3.3246584429509434</c:v>
                </c:pt>
                <c:pt idx="48">
                  <c:v>2.7453045619872642</c:v>
                </c:pt>
                <c:pt idx="49">
                  <c:v>2.4408267632281082</c:v>
                </c:pt>
                <c:pt idx="50">
                  <c:v>2.5788271724884271</c:v>
                </c:pt>
                <c:pt idx="51">
                  <c:v>3.0343047983906408</c:v>
                </c:pt>
                <c:pt idx="52">
                  <c:v>3.0264482730867788</c:v>
                </c:pt>
                <c:pt idx="53">
                  <c:v>3.0490718913745853</c:v>
                </c:pt>
                <c:pt idx="54">
                  <c:v>3.104319986770165</c:v>
                </c:pt>
                <c:pt idx="55">
                  <c:v>2.9208085388120599</c:v>
                </c:pt>
                <c:pt idx="56">
                  <c:v>2.9906266007316331</c:v>
                </c:pt>
                <c:pt idx="57">
                  <c:v>3.1361674558525618</c:v>
                </c:pt>
                <c:pt idx="58">
                  <c:v>3.1945589060486843</c:v>
                </c:pt>
                <c:pt idx="59">
                  <c:v>3.1804633406284695</c:v>
                </c:pt>
                <c:pt idx="60">
                  <c:v>3.869895996529003</c:v>
                </c:pt>
                <c:pt idx="61">
                  <c:v>4.0521441034674224</c:v>
                </c:pt>
                <c:pt idx="62">
                  <c:v>3.8597147217989929</c:v>
                </c:pt>
                <c:pt idx="63">
                  <c:v>3.7800884020507421</c:v>
                </c:pt>
                <c:pt idx="64">
                  <c:v>3.8752361267690696</c:v>
                </c:pt>
                <c:pt idx="65">
                  <c:v>3.9079445710468561</c:v>
                </c:pt>
                <c:pt idx="66">
                  <c:v>3.9414073207139557</c:v>
                </c:pt>
                <c:pt idx="67">
                  <c:v>3.549626733670924</c:v>
                </c:pt>
                <c:pt idx="68">
                  <c:v>3.5107872065708494</c:v>
                </c:pt>
                <c:pt idx="69">
                  <c:v>3.5324604823220427</c:v>
                </c:pt>
                <c:pt idx="70">
                  <c:v>3.4836554533332649</c:v>
                </c:pt>
                <c:pt idx="71">
                  <c:v>3.5581241900590315</c:v>
                </c:pt>
                <c:pt idx="72">
                  <c:v>3.6033542947239159</c:v>
                </c:pt>
                <c:pt idx="73">
                  <c:v>3.4272477132519352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'G2.6B'!$B$1</c:f>
              <c:strCache>
                <c:ptCount val="1"/>
                <c:pt idx="0">
                  <c:v>Seguros generales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'G2.6B'!$A$2:$A$75</c:f>
              <c:numCache>
                <c:formatCode>mmm\-yy</c:formatCode>
                <c:ptCount val="74"/>
                <c:pt idx="0">
                  <c:v>40908</c:v>
                </c:pt>
                <c:pt idx="1">
                  <c:v>40939</c:v>
                </c:pt>
                <c:pt idx="2">
                  <c:v>40968</c:v>
                </c:pt>
                <c:pt idx="3">
                  <c:v>40999</c:v>
                </c:pt>
                <c:pt idx="4">
                  <c:v>41029</c:v>
                </c:pt>
                <c:pt idx="5">
                  <c:v>41060</c:v>
                </c:pt>
                <c:pt idx="6">
                  <c:v>41090</c:v>
                </c:pt>
                <c:pt idx="7">
                  <c:v>41121</c:v>
                </c:pt>
                <c:pt idx="8">
                  <c:v>41152</c:v>
                </c:pt>
                <c:pt idx="9">
                  <c:v>41182</c:v>
                </c:pt>
                <c:pt idx="10">
                  <c:v>41213</c:v>
                </c:pt>
                <c:pt idx="11">
                  <c:v>41243</c:v>
                </c:pt>
                <c:pt idx="12">
                  <c:v>41274</c:v>
                </c:pt>
                <c:pt idx="13">
                  <c:v>41305</c:v>
                </c:pt>
                <c:pt idx="14">
                  <c:v>41333</c:v>
                </c:pt>
                <c:pt idx="15">
                  <c:v>41364</c:v>
                </c:pt>
                <c:pt idx="16">
                  <c:v>41394</c:v>
                </c:pt>
                <c:pt idx="17">
                  <c:v>41425</c:v>
                </c:pt>
                <c:pt idx="18">
                  <c:v>41455</c:v>
                </c:pt>
                <c:pt idx="19">
                  <c:v>41486</c:v>
                </c:pt>
                <c:pt idx="20">
                  <c:v>41517</c:v>
                </c:pt>
                <c:pt idx="21">
                  <c:v>41547</c:v>
                </c:pt>
                <c:pt idx="22">
                  <c:v>41578</c:v>
                </c:pt>
                <c:pt idx="23">
                  <c:v>41608</c:v>
                </c:pt>
                <c:pt idx="24">
                  <c:v>41639</c:v>
                </c:pt>
                <c:pt idx="25">
                  <c:v>41670</c:v>
                </c:pt>
                <c:pt idx="26">
                  <c:v>41698</c:v>
                </c:pt>
                <c:pt idx="27">
                  <c:v>41729</c:v>
                </c:pt>
                <c:pt idx="28">
                  <c:v>41759</c:v>
                </c:pt>
                <c:pt idx="29">
                  <c:v>41790</c:v>
                </c:pt>
                <c:pt idx="30">
                  <c:v>41820</c:v>
                </c:pt>
                <c:pt idx="31">
                  <c:v>41851</c:v>
                </c:pt>
                <c:pt idx="32">
                  <c:v>41882</c:v>
                </c:pt>
                <c:pt idx="33">
                  <c:v>41912</c:v>
                </c:pt>
                <c:pt idx="34">
                  <c:v>41942</c:v>
                </c:pt>
                <c:pt idx="35">
                  <c:v>41973</c:v>
                </c:pt>
                <c:pt idx="36">
                  <c:v>42003</c:v>
                </c:pt>
                <c:pt idx="37">
                  <c:v>42034</c:v>
                </c:pt>
                <c:pt idx="38">
                  <c:v>42063</c:v>
                </c:pt>
                <c:pt idx="39">
                  <c:v>42093</c:v>
                </c:pt>
                <c:pt idx="40">
                  <c:v>42124</c:v>
                </c:pt>
                <c:pt idx="41">
                  <c:v>42154</c:v>
                </c:pt>
                <c:pt idx="42">
                  <c:v>42185</c:v>
                </c:pt>
                <c:pt idx="43">
                  <c:v>42215</c:v>
                </c:pt>
                <c:pt idx="44">
                  <c:v>42246</c:v>
                </c:pt>
                <c:pt idx="45">
                  <c:v>42277</c:v>
                </c:pt>
                <c:pt idx="46">
                  <c:v>42307</c:v>
                </c:pt>
                <c:pt idx="47">
                  <c:v>42338</c:v>
                </c:pt>
                <c:pt idx="48">
                  <c:v>42368</c:v>
                </c:pt>
                <c:pt idx="49">
                  <c:v>42370</c:v>
                </c:pt>
                <c:pt idx="50">
                  <c:v>42401</c:v>
                </c:pt>
                <c:pt idx="51">
                  <c:v>42430</c:v>
                </c:pt>
                <c:pt idx="52">
                  <c:v>42461</c:v>
                </c:pt>
                <c:pt idx="53">
                  <c:v>42491</c:v>
                </c:pt>
                <c:pt idx="54">
                  <c:v>42522</c:v>
                </c:pt>
                <c:pt idx="55">
                  <c:v>42552</c:v>
                </c:pt>
                <c:pt idx="56">
                  <c:v>42583</c:v>
                </c:pt>
                <c:pt idx="57">
                  <c:v>42614</c:v>
                </c:pt>
                <c:pt idx="58">
                  <c:v>42644</c:v>
                </c:pt>
                <c:pt idx="59">
                  <c:v>42675</c:v>
                </c:pt>
                <c:pt idx="60">
                  <c:v>42705</c:v>
                </c:pt>
                <c:pt idx="61">
                  <c:v>42736</c:v>
                </c:pt>
                <c:pt idx="62">
                  <c:v>42767</c:v>
                </c:pt>
                <c:pt idx="63">
                  <c:v>42795</c:v>
                </c:pt>
                <c:pt idx="64">
                  <c:v>42826</c:v>
                </c:pt>
                <c:pt idx="65">
                  <c:v>42856</c:v>
                </c:pt>
                <c:pt idx="66">
                  <c:v>42887</c:v>
                </c:pt>
                <c:pt idx="67">
                  <c:v>42917</c:v>
                </c:pt>
                <c:pt idx="68">
                  <c:v>42948</c:v>
                </c:pt>
                <c:pt idx="69">
                  <c:v>42979</c:v>
                </c:pt>
                <c:pt idx="70">
                  <c:v>43009</c:v>
                </c:pt>
                <c:pt idx="71">
                  <c:v>43040</c:v>
                </c:pt>
                <c:pt idx="72">
                  <c:v>43070</c:v>
                </c:pt>
                <c:pt idx="73">
                  <c:v>43101</c:v>
                </c:pt>
              </c:numCache>
            </c:numRef>
          </c:cat>
          <c:val>
            <c:numRef>
              <c:f>'G2.6B'!$B$2:$B$75</c:f>
              <c:numCache>
                <c:formatCode>0.00</c:formatCode>
                <c:ptCount val="74"/>
                <c:pt idx="0">
                  <c:v>2.2769927524729803</c:v>
                </c:pt>
                <c:pt idx="1">
                  <c:v>2.260029208258072</c:v>
                </c:pt>
                <c:pt idx="2">
                  <c:v>2.1599747110419241</c:v>
                </c:pt>
                <c:pt idx="3">
                  <c:v>2.7933268191160288</c:v>
                </c:pt>
                <c:pt idx="4">
                  <c:v>2.8391060164887141</c:v>
                </c:pt>
                <c:pt idx="5">
                  <c:v>2.586882293184054</c:v>
                </c:pt>
                <c:pt idx="6">
                  <c:v>2.3982081774575823</c:v>
                </c:pt>
                <c:pt idx="7">
                  <c:v>2.71956921127124</c:v>
                </c:pt>
                <c:pt idx="8">
                  <c:v>2.7055711886840181</c:v>
                </c:pt>
                <c:pt idx="9">
                  <c:v>2.5756873744542435</c:v>
                </c:pt>
                <c:pt idx="10">
                  <c:v>2.5479961818919468</c:v>
                </c:pt>
                <c:pt idx="11">
                  <c:v>2.4620551197045875</c:v>
                </c:pt>
                <c:pt idx="12">
                  <c:v>2.3823543295985754</c:v>
                </c:pt>
                <c:pt idx="13">
                  <c:v>2.6064306061494076</c:v>
                </c:pt>
                <c:pt idx="14">
                  <c:v>2.5960034776995888</c:v>
                </c:pt>
                <c:pt idx="15">
                  <c:v>2.5125662585368111</c:v>
                </c:pt>
                <c:pt idx="16">
                  <c:v>2.2931463549372002</c:v>
                </c:pt>
                <c:pt idx="17">
                  <c:v>2.292460076380634</c:v>
                </c:pt>
                <c:pt idx="18">
                  <c:v>2.0146541634914903</c:v>
                </c:pt>
                <c:pt idx="19">
                  <c:v>1.9303725264782143</c:v>
                </c:pt>
                <c:pt idx="20">
                  <c:v>1.6648515386785807</c:v>
                </c:pt>
                <c:pt idx="21">
                  <c:v>1.7747099955497354</c:v>
                </c:pt>
                <c:pt idx="22">
                  <c:v>1.4535285817769061</c:v>
                </c:pt>
                <c:pt idx="23">
                  <c:v>1.4418121832663089</c:v>
                </c:pt>
                <c:pt idx="24">
                  <c:v>1.5572023977013691</c:v>
                </c:pt>
                <c:pt idx="25">
                  <c:v>1.3880501612143519</c:v>
                </c:pt>
                <c:pt idx="26">
                  <c:v>1.4075871392432924</c:v>
                </c:pt>
                <c:pt idx="27">
                  <c:v>1.187690234849758</c:v>
                </c:pt>
                <c:pt idx="28">
                  <c:v>1.1484566057840633</c:v>
                </c:pt>
                <c:pt idx="29">
                  <c:v>1.2351938835584824</c:v>
                </c:pt>
                <c:pt idx="30">
                  <c:v>1.6596383391898266</c:v>
                </c:pt>
                <c:pt idx="31">
                  <c:v>1.2620056943892142</c:v>
                </c:pt>
                <c:pt idx="32">
                  <c:v>1.5737720178312613</c:v>
                </c:pt>
                <c:pt idx="33">
                  <c:v>1.2090462790477041</c:v>
                </c:pt>
                <c:pt idx="34">
                  <c:v>1.2955375216881515</c:v>
                </c:pt>
                <c:pt idx="35">
                  <c:v>1.3495568886078013</c:v>
                </c:pt>
                <c:pt idx="36">
                  <c:v>0.94771004722409613</c:v>
                </c:pt>
                <c:pt idx="37">
                  <c:v>1.2512109024153324</c:v>
                </c:pt>
                <c:pt idx="38">
                  <c:v>1.139786595301872</c:v>
                </c:pt>
                <c:pt idx="39">
                  <c:v>0.86941495033391258</c:v>
                </c:pt>
                <c:pt idx="40">
                  <c:v>0.9534613145541162</c:v>
                </c:pt>
                <c:pt idx="41">
                  <c:v>1.218090276563361</c:v>
                </c:pt>
                <c:pt idx="42">
                  <c:v>1.0718119797642582</c:v>
                </c:pt>
                <c:pt idx="43">
                  <c:v>1.3782135039944279</c:v>
                </c:pt>
                <c:pt idx="44">
                  <c:v>1.2827514872822663</c:v>
                </c:pt>
                <c:pt idx="45">
                  <c:v>1.4038404625710348</c:v>
                </c:pt>
                <c:pt idx="46">
                  <c:v>1.3499554005254981</c:v>
                </c:pt>
                <c:pt idx="47">
                  <c:v>1.1914101189289652</c:v>
                </c:pt>
                <c:pt idx="48">
                  <c:v>0.88880309987162587</c:v>
                </c:pt>
                <c:pt idx="49">
                  <c:v>0.65109022979660547</c:v>
                </c:pt>
                <c:pt idx="50">
                  <c:v>0.6612396184863083</c:v>
                </c:pt>
                <c:pt idx="51">
                  <c:v>0.62856677452186416</c:v>
                </c:pt>
                <c:pt idx="52">
                  <c:v>0.5099850494740874</c:v>
                </c:pt>
                <c:pt idx="53">
                  <c:v>0.56356368960219172</c:v>
                </c:pt>
                <c:pt idx="54">
                  <c:v>0.56810401287270196</c:v>
                </c:pt>
                <c:pt idx="55">
                  <c:v>0.83296643810836324</c:v>
                </c:pt>
                <c:pt idx="56">
                  <c:v>0.68402276964802244</c:v>
                </c:pt>
                <c:pt idx="57">
                  <c:v>0.75814080942964468</c:v>
                </c:pt>
                <c:pt idx="58">
                  <c:v>0.83587610631589437</c:v>
                </c:pt>
                <c:pt idx="59">
                  <c:v>0.76860120325615611</c:v>
                </c:pt>
                <c:pt idx="60">
                  <c:v>1.4611935154554361</c:v>
                </c:pt>
                <c:pt idx="61">
                  <c:v>1.4530691558796807</c:v>
                </c:pt>
                <c:pt idx="62">
                  <c:v>1.4807832328478032</c:v>
                </c:pt>
                <c:pt idx="63">
                  <c:v>1.4983928823312878</c:v>
                </c:pt>
                <c:pt idx="64">
                  <c:v>1.5149792224468168</c:v>
                </c:pt>
                <c:pt idx="65">
                  <c:v>1.3185302489593522</c:v>
                </c:pt>
                <c:pt idx="66">
                  <c:v>1.4662081392552677</c:v>
                </c:pt>
                <c:pt idx="67">
                  <c:v>1.1110565819385407</c:v>
                </c:pt>
                <c:pt idx="68">
                  <c:v>1.095743322997466</c:v>
                </c:pt>
                <c:pt idx="69">
                  <c:v>1.1423214546792024</c:v>
                </c:pt>
                <c:pt idx="70">
                  <c:v>1.3530682619538461</c:v>
                </c:pt>
                <c:pt idx="71">
                  <c:v>1.7833882518559325</c:v>
                </c:pt>
                <c:pt idx="72">
                  <c:v>1.4070987435127269</c:v>
                </c:pt>
                <c:pt idx="73">
                  <c:v>1.3655011025182064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838800"/>
        <c:axId val="245598288"/>
      </c:lineChart>
      <c:dateAx>
        <c:axId val="160838800"/>
        <c:scaling>
          <c:orientation val="minMax"/>
          <c:min val="40909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/>
        </c:spPr>
        <c:crossAx val="24559828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45598288"/>
        <c:scaling>
          <c:orientation val="minMax"/>
          <c:max val="4.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9379953812312885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/>
        </c:spPr>
        <c:crossAx val="160838800"/>
        <c:crosses val="autoZero"/>
        <c:crossBetween val="between"/>
        <c:minorUnit val="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3730161208616768"/>
          <c:y val="0.91560062867185188"/>
          <c:w val="0.52539658883023199"/>
          <c:h val="5.7696586984670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barChart>
        <c:barDir val="col"/>
        <c:grouping val="clustered"/>
        <c:varyColors val="0"/>
        <c:ser>
          <c:idx val="6"/>
          <c:order val="6"/>
          <c:spPr>
            <a:solidFill>
              <a:schemeClr val="accent2">
                <a:lumMod val="20000"/>
                <a:lumOff val="80000"/>
              </a:schemeClr>
            </a:solidFill>
            <a:ln w="123825">
              <a:solidFill>
                <a:schemeClr val="accent2">
                  <a:lumMod val="20000"/>
                  <a:lumOff val="80000"/>
                </a:schemeClr>
              </a:solidFill>
            </a:ln>
          </c:spPr>
          <c:invertIfNegative val="0"/>
          <c:val>
            <c:numRef>
              <c:f>'G2.2'!$Q$5:$Q$233</c:f>
              <c:numCache>
                <c:formatCode>General</c:formatCode>
                <c:ptCount val="2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-1E+20</c:v>
                </c:pt>
                <c:pt idx="218">
                  <c:v>-1E+20</c:v>
                </c:pt>
                <c:pt idx="219">
                  <c:v>-1E+20</c:v>
                </c:pt>
                <c:pt idx="220">
                  <c:v>-1E+20</c:v>
                </c:pt>
                <c:pt idx="221">
                  <c:v>-1E+20</c:v>
                </c:pt>
                <c:pt idx="222">
                  <c:v>-1E+20</c:v>
                </c:pt>
                <c:pt idx="223">
                  <c:v>-1E+20</c:v>
                </c:pt>
                <c:pt idx="224">
                  <c:v>-1E+20</c:v>
                </c:pt>
                <c:pt idx="225">
                  <c:v>-1E+20</c:v>
                </c:pt>
                <c:pt idx="226">
                  <c:v>-1E+20</c:v>
                </c:pt>
                <c:pt idx="227">
                  <c:v>-1E+20</c:v>
                </c:pt>
                <c:pt idx="228">
                  <c:v>-1E+20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5E-4A48-8F18-FA5786C3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77008"/>
        <c:axId val="156972720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spPr>
                  <a:solidFill>
                    <a:srgbClr val="9E0000">
                      <a:lumMod val="20000"/>
                      <a:lumOff val="80000"/>
                    </a:srgbClr>
                  </a:solidFill>
                  <a:ln w="114300">
                    <a:noFill/>
                  </a:ln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'G2.2'!$P$5:$P$234</c15:sqref>
                        </c15:formulaRef>
                      </c:ext>
                    </c:extLst>
                    <c:numCache>
                      <c:formatCode>General</c:formatCode>
                      <c:ptCount val="2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1E+20</c:v>
                      </c:pt>
                      <c:pt idx="218">
                        <c:v>1E+20</c:v>
                      </c:pt>
                      <c:pt idx="219">
                        <c:v>1E+20</c:v>
                      </c:pt>
                      <c:pt idx="220">
                        <c:v>1E+20</c:v>
                      </c:pt>
                      <c:pt idx="221">
                        <c:v>1E+20</c:v>
                      </c:pt>
                      <c:pt idx="222">
                        <c:v>1E+20</c:v>
                      </c:pt>
                      <c:pt idx="223">
                        <c:v>1E+20</c:v>
                      </c:pt>
                      <c:pt idx="224">
                        <c:v>1E+20</c:v>
                      </c:pt>
                      <c:pt idx="225">
                        <c:v>1E+20</c:v>
                      </c:pt>
                      <c:pt idx="226">
                        <c:v>1E+20</c:v>
                      </c:pt>
                      <c:pt idx="227">
                        <c:v>1E+20</c:v>
                      </c:pt>
                      <c:pt idx="228">
                        <c:v>1E+20</c:v>
                      </c:pt>
                      <c:pt idx="229">
                        <c:v>1E+20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C75E-4A48-8F18-FA5786C36C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'G2.2'!$J$4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'G2.2'!$J$5:$J$234</c:f>
              <c:numCache>
                <c:formatCode>0.0</c:formatCode>
                <c:ptCount val="230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-9.4153219839563036</c:v>
                </c:pt>
                <c:pt idx="13">
                  <c:v>-9.9083681371133316</c:v>
                </c:pt>
                <c:pt idx="14">
                  <c:v>-10.935895624168868</c:v>
                </c:pt>
                <c:pt idx="15">
                  <c:v>-11.775309078759634</c:v>
                </c:pt>
                <c:pt idx="16">
                  <c:v>-11.409797754277617</c:v>
                </c:pt>
                <c:pt idx="17">
                  <c:v>-10.956752350946697</c:v>
                </c:pt>
                <c:pt idx="18">
                  <c:v>-10.426062331898201</c:v>
                </c:pt>
                <c:pt idx="19">
                  <c:v>-12.061217731379337</c:v>
                </c:pt>
                <c:pt idx="20">
                  <c:v>-9.9852873496231069</c:v>
                </c:pt>
                <c:pt idx="21">
                  <c:v>-11.809135661398562</c:v>
                </c:pt>
                <c:pt idx="22">
                  <c:v>-11.593379491591282</c:v>
                </c:pt>
                <c:pt idx="23">
                  <c:v>-12.23387156255632</c:v>
                </c:pt>
                <c:pt idx="24">
                  <c:v>-10.253037479832505</c:v>
                </c:pt>
                <c:pt idx="25">
                  <c:v>-9.9445199908670396</c:v>
                </c:pt>
                <c:pt idx="26">
                  <c:v>-6.1812315775592879</c:v>
                </c:pt>
                <c:pt idx="27">
                  <c:v>-5.2217853946458721</c:v>
                </c:pt>
                <c:pt idx="28">
                  <c:v>-6.0622045393119883</c:v>
                </c:pt>
                <c:pt idx="29">
                  <c:v>-6.2376082223217661</c:v>
                </c:pt>
                <c:pt idx="30">
                  <c:v>-4.7209185101186328</c:v>
                </c:pt>
                <c:pt idx="31">
                  <c:v>-4.6813972580378005</c:v>
                </c:pt>
                <c:pt idx="32">
                  <c:v>-5.5742846877301027</c:v>
                </c:pt>
                <c:pt idx="33">
                  <c:v>-5.7939701046244574</c:v>
                </c:pt>
                <c:pt idx="34">
                  <c:v>-4.1516014596082451</c:v>
                </c:pt>
                <c:pt idx="35">
                  <c:v>-3.8939407711486518</c:v>
                </c:pt>
                <c:pt idx="36">
                  <c:v>-5.9027181949756535</c:v>
                </c:pt>
                <c:pt idx="37">
                  <c:v>-3.4130002480412092</c:v>
                </c:pt>
                <c:pt idx="38">
                  <c:v>-2.6461139814544787</c:v>
                </c:pt>
                <c:pt idx="39">
                  <c:v>-2.15995687483721</c:v>
                </c:pt>
                <c:pt idx="40">
                  <c:v>-1.244475920636301</c:v>
                </c:pt>
                <c:pt idx="41">
                  <c:v>-1.6918143066068869</c:v>
                </c:pt>
                <c:pt idx="42">
                  <c:v>-1.4950856155472869</c:v>
                </c:pt>
                <c:pt idx="43">
                  <c:v>1.3752250151921386</c:v>
                </c:pt>
                <c:pt idx="44">
                  <c:v>0.92474118703000929</c:v>
                </c:pt>
                <c:pt idx="45">
                  <c:v>2.9800659489625181</c:v>
                </c:pt>
                <c:pt idx="46">
                  <c:v>3.057453601247162</c:v>
                </c:pt>
                <c:pt idx="47">
                  <c:v>4.44886987995321</c:v>
                </c:pt>
                <c:pt idx="48">
                  <c:v>6.3717348351581604</c:v>
                </c:pt>
                <c:pt idx="49">
                  <c:v>4.5209742139831643</c:v>
                </c:pt>
                <c:pt idx="50">
                  <c:v>4.5667260940357446</c:v>
                </c:pt>
                <c:pt idx="51">
                  <c:v>4.9286851581291424</c:v>
                </c:pt>
                <c:pt idx="52">
                  <c:v>6.3829319531938822</c:v>
                </c:pt>
                <c:pt idx="53">
                  <c:v>7.4130200479681996</c:v>
                </c:pt>
                <c:pt idx="54">
                  <c:v>4.1616696868717495</c:v>
                </c:pt>
                <c:pt idx="55">
                  <c:v>2.0265133336279773</c:v>
                </c:pt>
                <c:pt idx="56">
                  <c:v>2.8614970116604743</c:v>
                </c:pt>
                <c:pt idx="57">
                  <c:v>1.6717921004048897</c:v>
                </c:pt>
                <c:pt idx="58">
                  <c:v>3.3062542916723947</c:v>
                </c:pt>
                <c:pt idx="59">
                  <c:v>2.0351665416134423</c:v>
                </c:pt>
                <c:pt idx="60">
                  <c:v>0.57038889353318023</c:v>
                </c:pt>
                <c:pt idx="61">
                  <c:v>8.1723206557118964</c:v>
                </c:pt>
                <c:pt idx="62">
                  <c:v>8.8379473367253603</c:v>
                </c:pt>
                <c:pt idx="63">
                  <c:v>6.6075655049923743</c:v>
                </c:pt>
                <c:pt idx="64">
                  <c:v>6.748870400364626</c:v>
                </c:pt>
                <c:pt idx="65">
                  <c:v>8.4697563140958785</c:v>
                </c:pt>
                <c:pt idx="66">
                  <c:v>12.627508046397473</c:v>
                </c:pt>
                <c:pt idx="67">
                  <c:v>14.544488402955725</c:v>
                </c:pt>
                <c:pt idx="68">
                  <c:v>15.593246665955384</c:v>
                </c:pt>
                <c:pt idx="69">
                  <c:v>16.396130958044441</c:v>
                </c:pt>
                <c:pt idx="70">
                  <c:v>15.585914632057097</c:v>
                </c:pt>
                <c:pt idx="71">
                  <c:v>17.538107468448572</c:v>
                </c:pt>
                <c:pt idx="72">
                  <c:v>19.848016019485005</c:v>
                </c:pt>
                <c:pt idx="73">
                  <c:v>11.835469894827067</c:v>
                </c:pt>
                <c:pt idx="74">
                  <c:v>11.274012913960551</c:v>
                </c:pt>
                <c:pt idx="75">
                  <c:v>15.474709692370702</c:v>
                </c:pt>
                <c:pt idx="76">
                  <c:v>15.44910601217504</c:v>
                </c:pt>
                <c:pt idx="77">
                  <c:v>14.204126547570839</c:v>
                </c:pt>
                <c:pt idx="78">
                  <c:v>13.879940151856363</c:v>
                </c:pt>
                <c:pt idx="79">
                  <c:v>12.111230145581198</c:v>
                </c:pt>
                <c:pt idx="80">
                  <c:v>9.8046680355598603</c:v>
                </c:pt>
                <c:pt idx="81">
                  <c:v>9.3738159162397814</c:v>
                </c:pt>
                <c:pt idx="82">
                  <c:v>9.6545853183285004</c:v>
                </c:pt>
                <c:pt idx="83">
                  <c:v>8.4855526527821681</c:v>
                </c:pt>
                <c:pt idx="84">
                  <c:v>9.0367113900968974</c:v>
                </c:pt>
                <c:pt idx="85">
                  <c:v>10.95200767341311</c:v>
                </c:pt>
                <c:pt idx="86">
                  <c:v>12.715199452407088</c:v>
                </c:pt>
                <c:pt idx="87">
                  <c:v>9.7326517081707244</c:v>
                </c:pt>
                <c:pt idx="88">
                  <c:v>12.701416695885005</c:v>
                </c:pt>
                <c:pt idx="89">
                  <c:v>15.290788402772936</c:v>
                </c:pt>
                <c:pt idx="90">
                  <c:v>16.946283148406629</c:v>
                </c:pt>
                <c:pt idx="91">
                  <c:v>19.12477760637854</c:v>
                </c:pt>
                <c:pt idx="92">
                  <c:v>21.297055159615152</c:v>
                </c:pt>
                <c:pt idx="93">
                  <c:v>21.863980927122139</c:v>
                </c:pt>
                <c:pt idx="94">
                  <c:v>23.503015539475534</c:v>
                </c:pt>
                <c:pt idx="95">
                  <c:v>25.492448500818664</c:v>
                </c:pt>
                <c:pt idx="96">
                  <c:v>24.669838692877221</c:v>
                </c:pt>
                <c:pt idx="97">
                  <c:v>23.280769085125886</c:v>
                </c:pt>
                <c:pt idx="98">
                  <c:v>23.371895083209736</c:v>
                </c:pt>
                <c:pt idx="99">
                  <c:v>26.111832152513603</c:v>
                </c:pt>
                <c:pt idx="100">
                  <c:v>22.690984577646155</c:v>
                </c:pt>
                <c:pt idx="101">
                  <c:v>22.135876986255141</c:v>
                </c:pt>
                <c:pt idx="102">
                  <c:v>20.341797941836013</c:v>
                </c:pt>
                <c:pt idx="103">
                  <c:v>20.206812549103503</c:v>
                </c:pt>
                <c:pt idx="104">
                  <c:v>21.296294025735186</c:v>
                </c:pt>
                <c:pt idx="105">
                  <c:v>22.154777855405761</c:v>
                </c:pt>
                <c:pt idx="106">
                  <c:v>20.35168975684476</c:v>
                </c:pt>
                <c:pt idx="107">
                  <c:v>20.340626635026272</c:v>
                </c:pt>
                <c:pt idx="108">
                  <c:v>18.572608929127419</c:v>
                </c:pt>
                <c:pt idx="109">
                  <c:v>17.800908723183916</c:v>
                </c:pt>
                <c:pt idx="110">
                  <c:v>16.723003718067254</c:v>
                </c:pt>
                <c:pt idx="111">
                  <c:v>15.963060842821331</c:v>
                </c:pt>
                <c:pt idx="112">
                  <c:v>15.652140562602114</c:v>
                </c:pt>
                <c:pt idx="113">
                  <c:v>13.626821273876089</c:v>
                </c:pt>
                <c:pt idx="114">
                  <c:v>15.063197922736492</c:v>
                </c:pt>
                <c:pt idx="115">
                  <c:v>13.78044854335403</c:v>
                </c:pt>
                <c:pt idx="116">
                  <c:v>13.492447720562662</c:v>
                </c:pt>
                <c:pt idx="117">
                  <c:v>13.729010397668917</c:v>
                </c:pt>
                <c:pt idx="118">
                  <c:v>15.744382728584426</c:v>
                </c:pt>
                <c:pt idx="119">
                  <c:v>14.852442855812665</c:v>
                </c:pt>
                <c:pt idx="120">
                  <c:v>14.071289287180267</c:v>
                </c:pt>
                <c:pt idx="121">
                  <c:v>14.42053480064709</c:v>
                </c:pt>
                <c:pt idx="122">
                  <c:v>13.069265447619017</c:v>
                </c:pt>
                <c:pt idx="123">
                  <c:v>11.997848478540973</c:v>
                </c:pt>
                <c:pt idx="124">
                  <c:v>11.34453872684098</c:v>
                </c:pt>
                <c:pt idx="125">
                  <c:v>13.057177270392707</c:v>
                </c:pt>
                <c:pt idx="126">
                  <c:v>9.7657151109811213</c:v>
                </c:pt>
                <c:pt idx="127">
                  <c:v>8.1100148885792542</c:v>
                </c:pt>
                <c:pt idx="128">
                  <c:v>4.2518775869879732</c:v>
                </c:pt>
                <c:pt idx="129">
                  <c:v>1.1124224050187648</c:v>
                </c:pt>
                <c:pt idx="130">
                  <c:v>-1.5770500344763683</c:v>
                </c:pt>
                <c:pt idx="131">
                  <c:v>-3.6369708867774908</c:v>
                </c:pt>
                <c:pt idx="132">
                  <c:v>-2.3188642297981565</c:v>
                </c:pt>
                <c:pt idx="133">
                  <c:v>-3.0530030457678548</c:v>
                </c:pt>
                <c:pt idx="134">
                  <c:v>-2.4653683147507044</c:v>
                </c:pt>
                <c:pt idx="135">
                  <c:v>-1.9300277752130723</c:v>
                </c:pt>
                <c:pt idx="136">
                  <c:v>-1.078142384669456</c:v>
                </c:pt>
                <c:pt idx="137">
                  <c:v>-2.3994725290548358</c:v>
                </c:pt>
                <c:pt idx="138">
                  <c:v>-0.89352292481890139</c:v>
                </c:pt>
                <c:pt idx="139">
                  <c:v>0.77269199041298808</c:v>
                </c:pt>
                <c:pt idx="140">
                  <c:v>4.1915219383822144</c:v>
                </c:pt>
                <c:pt idx="141">
                  <c:v>7.4362657477454741</c:v>
                </c:pt>
                <c:pt idx="142">
                  <c:v>9.2323283090612875</c:v>
                </c:pt>
                <c:pt idx="143">
                  <c:v>13.668751774570097</c:v>
                </c:pt>
                <c:pt idx="144">
                  <c:v>15.664428924060548</c:v>
                </c:pt>
                <c:pt idx="145">
                  <c:v>15.739415248273936</c:v>
                </c:pt>
                <c:pt idx="146">
                  <c:v>17.473400462725142</c:v>
                </c:pt>
                <c:pt idx="147">
                  <c:v>18.795349861390665</c:v>
                </c:pt>
                <c:pt idx="148">
                  <c:v>19.442376898617454</c:v>
                </c:pt>
                <c:pt idx="149">
                  <c:v>20.491733855489503</c:v>
                </c:pt>
                <c:pt idx="150">
                  <c:v>19.58749921749201</c:v>
                </c:pt>
                <c:pt idx="151">
                  <c:v>19.983483416204972</c:v>
                </c:pt>
                <c:pt idx="152">
                  <c:v>20.084014035793139</c:v>
                </c:pt>
                <c:pt idx="153">
                  <c:v>19.579734640846127</c:v>
                </c:pt>
                <c:pt idx="154">
                  <c:v>18.180113262518628</c:v>
                </c:pt>
                <c:pt idx="155">
                  <c:v>17.663206855447953</c:v>
                </c:pt>
                <c:pt idx="156">
                  <c:v>15.125159511529308</c:v>
                </c:pt>
                <c:pt idx="157">
                  <c:v>14.726039206167375</c:v>
                </c:pt>
                <c:pt idx="158">
                  <c:v>13.183139202399241</c:v>
                </c:pt>
                <c:pt idx="159">
                  <c:v>12.781361795332447</c:v>
                </c:pt>
                <c:pt idx="160">
                  <c:v>12.541632454350516</c:v>
                </c:pt>
                <c:pt idx="161">
                  <c:v>11.852735161540441</c:v>
                </c:pt>
                <c:pt idx="162">
                  <c:v>11.866743679092927</c:v>
                </c:pt>
                <c:pt idx="163">
                  <c:v>11.830843047919281</c:v>
                </c:pt>
                <c:pt idx="164">
                  <c:v>10.826900445330455</c:v>
                </c:pt>
                <c:pt idx="165">
                  <c:v>9.1602311259320288</c:v>
                </c:pt>
                <c:pt idx="166">
                  <c:v>9.500139945595576</c:v>
                </c:pt>
                <c:pt idx="167">
                  <c:v>8.7018201773210855</c:v>
                </c:pt>
                <c:pt idx="168">
                  <c:v>10.457677776858665</c:v>
                </c:pt>
                <c:pt idx="169">
                  <c:v>11.281525993115714</c:v>
                </c:pt>
                <c:pt idx="170">
                  <c:v>11.487535145577832</c:v>
                </c:pt>
                <c:pt idx="171">
                  <c:v>11.242097417343677</c:v>
                </c:pt>
                <c:pt idx="172">
                  <c:v>11.411290004423137</c:v>
                </c:pt>
                <c:pt idx="173">
                  <c:v>11.638944217584047</c:v>
                </c:pt>
                <c:pt idx="174">
                  <c:v>12.829928110019416</c:v>
                </c:pt>
                <c:pt idx="175">
                  <c:v>11.649023910038547</c:v>
                </c:pt>
                <c:pt idx="176">
                  <c:v>12.274333762819879</c:v>
                </c:pt>
                <c:pt idx="177">
                  <c:v>12.658926345253342</c:v>
                </c:pt>
                <c:pt idx="178">
                  <c:v>11.794349627743594</c:v>
                </c:pt>
                <c:pt idx="179">
                  <c:v>10.383931685479775</c:v>
                </c:pt>
                <c:pt idx="180">
                  <c:v>8.8157252098530101</c:v>
                </c:pt>
                <c:pt idx="181">
                  <c:v>9.7505933986353313</c:v>
                </c:pt>
                <c:pt idx="182">
                  <c:v>10.389728081588579</c:v>
                </c:pt>
                <c:pt idx="183">
                  <c:v>10.383077127627981</c:v>
                </c:pt>
                <c:pt idx="184">
                  <c:v>10.475505172278087</c:v>
                </c:pt>
                <c:pt idx="185">
                  <c:v>10.103794745462281</c:v>
                </c:pt>
                <c:pt idx="186">
                  <c:v>9.5183683852222636</c:v>
                </c:pt>
                <c:pt idx="187">
                  <c:v>9.3765342707701862</c:v>
                </c:pt>
                <c:pt idx="188">
                  <c:v>8.7332579204294269</c:v>
                </c:pt>
                <c:pt idx="189">
                  <c:v>8.3241206770063858</c:v>
                </c:pt>
                <c:pt idx="190">
                  <c:v>8.8116577150797237</c:v>
                </c:pt>
                <c:pt idx="191">
                  <c:v>10.127972087963144</c:v>
                </c:pt>
                <c:pt idx="192">
                  <c:v>11.870347919942969</c:v>
                </c:pt>
                <c:pt idx="193">
                  <c:v>14.216843626913089</c:v>
                </c:pt>
                <c:pt idx="194">
                  <c:v>14.093083426525643</c:v>
                </c:pt>
                <c:pt idx="195">
                  <c:v>14.277849857448599</c:v>
                </c:pt>
                <c:pt idx="196">
                  <c:v>12.627100959711646</c:v>
                </c:pt>
                <c:pt idx="197">
                  <c:v>13.136487660190156</c:v>
                </c:pt>
                <c:pt idx="198">
                  <c:v>13.111974978197205</c:v>
                </c:pt>
                <c:pt idx="199">
                  <c:v>14.889738295846522</c:v>
                </c:pt>
                <c:pt idx="200">
                  <c:v>17.607121175000316</c:v>
                </c:pt>
                <c:pt idx="201">
                  <c:v>16.474717200458343</c:v>
                </c:pt>
                <c:pt idx="202">
                  <c:v>15.959553013338223</c:v>
                </c:pt>
                <c:pt idx="203">
                  <c:v>14.542764975172972</c:v>
                </c:pt>
                <c:pt idx="204">
                  <c:v>11.923381722173465</c:v>
                </c:pt>
                <c:pt idx="205">
                  <c:v>9.3157341889109411</c:v>
                </c:pt>
                <c:pt idx="206">
                  <c:v>9.0485141961390791</c:v>
                </c:pt>
                <c:pt idx="207">
                  <c:v>6.764469363605774</c:v>
                </c:pt>
                <c:pt idx="208">
                  <c:v>7.161813385942839</c:v>
                </c:pt>
                <c:pt idx="209">
                  <c:v>6.4568227923983201</c:v>
                </c:pt>
                <c:pt idx="210">
                  <c:v>4.3157519337714945</c:v>
                </c:pt>
                <c:pt idx="211">
                  <c:v>3.5143889014490171</c:v>
                </c:pt>
                <c:pt idx="212">
                  <c:v>0.2621650455719271</c:v>
                </c:pt>
                <c:pt idx="213">
                  <c:v>0.31056431878284663</c:v>
                </c:pt>
                <c:pt idx="214">
                  <c:v>0.10229143498561299</c:v>
                </c:pt>
                <c:pt idx="215">
                  <c:v>-0.32066027594277458</c:v>
                </c:pt>
                <c:pt idx="216">
                  <c:v>-0.97491281792086992</c:v>
                </c:pt>
                <c:pt idx="217">
                  <c:v>-2.6147439187309107</c:v>
                </c:pt>
                <c:pt idx="218">
                  <c:v>-3.2520964272236053</c:v>
                </c:pt>
                <c:pt idx="219">
                  <c:v>-2.1499897451594863</c:v>
                </c:pt>
                <c:pt idx="220">
                  <c:v>-1.8843302041745669</c:v>
                </c:pt>
                <c:pt idx="221">
                  <c:v>-2.7161061692619115</c:v>
                </c:pt>
                <c:pt idx="222">
                  <c:v>-1.1961288056308916</c:v>
                </c:pt>
                <c:pt idx="223">
                  <c:v>-2.3128177136654382</c:v>
                </c:pt>
                <c:pt idx="224">
                  <c:v>-2.4420443928189983</c:v>
                </c:pt>
                <c:pt idx="225">
                  <c:v>-1.7025920115667503</c:v>
                </c:pt>
                <c:pt idx="226">
                  <c:v>-1.7048870820024487</c:v>
                </c:pt>
                <c:pt idx="227">
                  <c:v>-2.4090512702139466</c:v>
                </c:pt>
                <c:pt idx="228">
                  <c:v>-1.6021906094095484</c:v>
                </c:pt>
                <c:pt idx="229">
                  <c:v>-1.13103211674489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5E-4A48-8F18-FA5786C36C39}"/>
            </c:ext>
          </c:extLst>
        </c:ser>
        <c:ser>
          <c:idx val="1"/>
          <c:order val="1"/>
          <c:tx>
            <c:strRef>
              <c:f>'G2.2'!$K$4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'G2.2'!$K$5:$K$234</c:f>
              <c:numCache>
                <c:formatCode>0.0</c:formatCode>
                <c:ptCount val="230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-33.535319306317078</c:v>
                </c:pt>
                <c:pt idx="13">
                  <c:v>-34.85214192973671</c:v>
                </c:pt>
                <c:pt idx="14">
                  <c:v>-36.213307909809089</c:v>
                </c:pt>
                <c:pt idx="15">
                  <c:v>-36.212912450696024</c:v>
                </c:pt>
                <c:pt idx="16">
                  <c:v>-35.466749755427514</c:v>
                </c:pt>
                <c:pt idx="17">
                  <c:v>-33.363978945663341</c:v>
                </c:pt>
                <c:pt idx="18">
                  <c:v>-27.934953125460339</c:v>
                </c:pt>
                <c:pt idx="19">
                  <c:v>-23.391552204365475</c:v>
                </c:pt>
                <c:pt idx="20">
                  <c:v>-19.735861275956701</c:v>
                </c:pt>
                <c:pt idx="21">
                  <c:v>-18.459998021791758</c:v>
                </c:pt>
                <c:pt idx="22">
                  <c:v>-18.116293395643179</c:v>
                </c:pt>
                <c:pt idx="23">
                  <c:v>-17.372188988585879</c:v>
                </c:pt>
                <c:pt idx="24">
                  <c:v>-12.157424455560683</c:v>
                </c:pt>
                <c:pt idx="25">
                  <c:v>-11.85828270931253</c:v>
                </c:pt>
                <c:pt idx="26">
                  <c:v>-7.2329875846265601</c:v>
                </c:pt>
                <c:pt idx="27">
                  <c:v>-6.3913126703545764</c:v>
                </c:pt>
                <c:pt idx="28">
                  <c:v>-6.961664617360297</c:v>
                </c:pt>
                <c:pt idx="29">
                  <c:v>-6.0762809465027656</c:v>
                </c:pt>
                <c:pt idx="30">
                  <c:v>-6.8817782544275179</c:v>
                </c:pt>
                <c:pt idx="31">
                  <c:v>-6.5133609638452601</c:v>
                </c:pt>
                <c:pt idx="32">
                  <c:v>-6.7717072366423769</c:v>
                </c:pt>
                <c:pt idx="33">
                  <c:v>-4.9204904050470404</c:v>
                </c:pt>
                <c:pt idx="34">
                  <c:v>-1.2811364721197149</c:v>
                </c:pt>
                <c:pt idx="35">
                  <c:v>2.4833747433863795</c:v>
                </c:pt>
                <c:pt idx="36">
                  <c:v>4.5767566025469053</c:v>
                </c:pt>
                <c:pt idx="37">
                  <c:v>-6.3321346812759245</c:v>
                </c:pt>
                <c:pt idx="38">
                  <c:v>-6.099168732430293</c:v>
                </c:pt>
                <c:pt idx="39">
                  <c:v>-6.598414996432167</c:v>
                </c:pt>
                <c:pt idx="40">
                  <c:v>-4.4328676030741976</c:v>
                </c:pt>
                <c:pt idx="41">
                  <c:v>-2.3761848244121642</c:v>
                </c:pt>
                <c:pt idx="42">
                  <c:v>-2.3088953347878749</c:v>
                </c:pt>
                <c:pt idx="43">
                  <c:v>-0.88714729615285703</c:v>
                </c:pt>
                <c:pt idx="44">
                  <c:v>1.2012038828769889</c:v>
                </c:pt>
                <c:pt idx="45">
                  <c:v>1.8319126748955972</c:v>
                </c:pt>
                <c:pt idx="46">
                  <c:v>1.8385917376382066</c:v>
                </c:pt>
                <c:pt idx="47">
                  <c:v>-0.19453967769276215</c:v>
                </c:pt>
                <c:pt idx="48">
                  <c:v>0.55308842595493957</c:v>
                </c:pt>
                <c:pt idx="49">
                  <c:v>13.495031172407002</c:v>
                </c:pt>
                <c:pt idx="50">
                  <c:v>12.840843173558092</c:v>
                </c:pt>
                <c:pt idx="51">
                  <c:v>15.357312687690516</c:v>
                </c:pt>
                <c:pt idx="52">
                  <c:v>16.188002035696549</c:v>
                </c:pt>
                <c:pt idx="53">
                  <c:v>13.981375975838905</c:v>
                </c:pt>
                <c:pt idx="54">
                  <c:v>15.558217027871212</c:v>
                </c:pt>
                <c:pt idx="55">
                  <c:v>15.295924973444496</c:v>
                </c:pt>
                <c:pt idx="56">
                  <c:v>14.667196368677216</c:v>
                </c:pt>
                <c:pt idx="57">
                  <c:v>14.102265709480655</c:v>
                </c:pt>
                <c:pt idx="58">
                  <c:v>14.41702026749514</c:v>
                </c:pt>
                <c:pt idx="59">
                  <c:v>14.86423995692685</c:v>
                </c:pt>
                <c:pt idx="60">
                  <c:v>15.686726886107483</c:v>
                </c:pt>
                <c:pt idx="61">
                  <c:v>17.654259202154222</c:v>
                </c:pt>
                <c:pt idx="62">
                  <c:v>18.428128765498531</c:v>
                </c:pt>
                <c:pt idx="63">
                  <c:v>20.22400828449511</c:v>
                </c:pt>
                <c:pt idx="64">
                  <c:v>21.013282756522255</c:v>
                </c:pt>
                <c:pt idx="65">
                  <c:v>21.558742416172862</c:v>
                </c:pt>
                <c:pt idx="66">
                  <c:v>21.270047462685614</c:v>
                </c:pt>
                <c:pt idx="67">
                  <c:v>20.933895484286392</c:v>
                </c:pt>
                <c:pt idx="68">
                  <c:v>21.313677089647641</c:v>
                </c:pt>
                <c:pt idx="69">
                  <c:v>23.135520483449913</c:v>
                </c:pt>
                <c:pt idx="70">
                  <c:v>23.808154708683205</c:v>
                </c:pt>
                <c:pt idx="71">
                  <c:v>24.447023160391179</c:v>
                </c:pt>
                <c:pt idx="72">
                  <c:v>25.198555794238374</c:v>
                </c:pt>
                <c:pt idx="73">
                  <c:v>23.485583677354537</c:v>
                </c:pt>
                <c:pt idx="74">
                  <c:v>24.883317632109648</c:v>
                </c:pt>
                <c:pt idx="75">
                  <c:v>25.036826952629497</c:v>
                </c:pt>
                <c:pt idx="76">
                  <c:v>25.780690862934751</c:v>
                </c:pt>
                <c:pt idx="77">
                  <c:v>26.369426069640124</c:v>
                </c:pt>
                <c:pt idx="78">
                  <c:v>27.710856011679972</c:v>
                </c:pt>
                <c:pt idx="79">
                  <c:v>28.75799539902637</c:v>
                </c:pt>
                <c:pt idx="80">
                  <c:v>29.605119471280815</c:v>
                </c:pt>
                <c:pt idx="81">
                  <c:v>30.358497995024901</c:v>
                </c:pt>
                <c:pt idx="82">
                  <c:v>30.520702093272511</c:v>
                </c:pt>
                <c:pt idx="83">
                  <c:v>31.495855389492554</c:v>
                </c:pt>
                <c:pt idx="84">
                  <c:v>32.938498483639478</c:v>
                </c:pt>
                <c:pt idx="85">
                  <c:v>33.97871109582784</c:v>
                </c:pt>
                <c:pt idx="86">
                  <c:v>35.833102015705578</c:v>
                </c:pt>
                <c:pt idx="87">
                  <c:v>38.459799436945666</c:v>
                </c:pt>
                <c:pt idx="88">
                  <c:v>38.947239862359126</c:v>
                </c:pt>
                <c:pt idx="89">
                  <c:v>41.11941254068001</c:v>
                </c:pt>
                <c:pt idx="90">
                  <c:v>41.867902596470039</c:v>
                </c:pt>
                <c:pt idx="91">
                  <c:v>41.728110419387711</c:v>
                </c:pt>
                <c:pt idx="92">
                  <c:v>42.400829234863167</c:v>
                </c:pt>
                <c:pt idx="93">
                  <c:v>43.375690501173914</c:v>
                </c:pt>
                <c:pt idx="94">
                  <c:v>44.230969091395302</c:v>
                </c:pt>
                <c:pt idx="95">
                  <c:v>43.939747900083503</c:v>
                </c:pt>
                <c:pt idx="96">
                  <c:v>43.250678752096874</c:v>
                </c:pt>
                <c:pt idx="97">
                  <c:v>42.77755826724259</c:v>
                </c:pt>
                <c:pt idx="98">
                  <c:v>41.897930896366354</c:v>
                </c:pt>
                <c:pt idx="99">
                  <c:v>42.309716031322878</c:v>
                </c:pt>
                <c:pt idx="100">
                  <c:v>42.060196391114133</c:v>
                </c:pt>
                <c:pt idx="101">
                  <c:v>39.977157083734348</c:v>
                </c:pt>
                <c:pt idx="102">
                  <c:v>39.26580438266496</c:v>
                </c:pt>
                <c:pt idx="103">
                  <c:v>38.502725601920517</c:v>
                </c:pt>
                <c:pt idx="104">
                  <c:v>36.506540896100617</c:v>
                </c:pt>
                <c:pt idx="105">
                  <c:v>33.982497895888208</c:v>
                </c:pt>
                <c:pt idx="106">
                  <c:v>34.972412909553483</c:v>
                </c:pt>
                <c:pt idx="107">
                  <c:v>32.339993598838831</c:v>
                </c:pt>
                <c:pt idx="108">
                  <c:v>29.866779533837139</c:v>
                </c:pt>
                <c:pt idx="109">
                  <c:v>28.016328027907743</c:v>
                </c:pt>
                <c:pt idx="110">
                  <c:v>25.903594112309179</c:v>
                </c:pt>
                <c:pt idx="111">
                  <c:v>22.208897516515425</c:v>
                </c:pt>
                <c:pt idx="112">
                  <c:v>19.927003059761606</c:v>
                </c:pt>
                <c:pt idx="113">
                  <c:v>18.685717317274953</c:v>
                </c:pt>
                <c:pt idx="114">
                  <c:v>16.196285769767215</c:v>
                </c:pt>
                <c:pt idx="115">
                  <c:v>14.85018898218058</c:v>
                </c:pt>
                <c:pt idx="116">
                  <c:v>13.527398480710694</c:v>
                </c:pt>
                <c:pt idx="117">
                  <c:v>12.210145080150102</c:v>
                </c:pt>
                <c:pt idx="118">
                  <c:v>8.8675119516638201</c:v>
                </c:pt>
                <c:pt idx="119">
                  <c:v>8.0564038565551499</c:v>
                </c:pt>
                <c:pt idx="120">
                  <c:v>6.6558159255954763</c:v>
                </c:pt>
                <c:pt idx="121">
                  <c:v>5.4691131203282506</c:v>
                </c:pt>
                <c:pt idx="122">
                  <c:v>3.8615617965260807</c:v>
                </c:pt>
                <c:pt idx="123">
                  <c:v>2.4037418881168726</c:v>
                </c:pt>
                <c:pt idx="124">
                  <c:v>0.57999736112670508</c:v>
                </c:pt>
                <c:pt idx="125">
                  <c:v>-0.79048387470228576</c:v>
                </c:pt>
                <c:pt idx="126">
                  <c:v>-1.0404558012999221</c:v>
                </c:pt>
                <c:pt idx="127">
                  <c:v>-1.9763664899861144</c:v>
                </c:pt>
                <c:pt idx="128">
                  <c:v>-2.4065916820804945</c:v>
                </c:pt>
                <c:pt idx="129">
                  <c:v>-2.9119100687679977</c:v>
                </c:pt>
                <c:pt idx="130">
                  <c:v>-3.1424956735472187</c:v>
                </c:pt>
                <c:pt idx="131">
                  <c:v>-1.8820875147660066</c:v>
                </c:pt>
                <c:pt idx="132">
                  <c:v>-1.4590172378216582</c:v>
                </c:pt>
                <c:pt idx="133">
                  <c:v>-0.71876126464460732</c:v>
                </c:pt>
                <c:pt idx="134">
                  <c:v>0.55297916376439993</c:v>
                </c:pt>
                <c:pt idx="135">
                  <c:v>2.0941422538172327</c:v>
                </c:pt>
                <c:pt idx="136">
                  <c:v>3.2897652607697614</c:v>
                </c:pt>
                <c:pt idx="137">
                  <c:v>4.7759726032853944</c:v>
                </c:pt>
                <c:pt idx="138">
                  <c:v>5.8948153077571064</c:v>
                </c:pt>
                <c:pt idx="139">
                  <c:v>7.1857638439028149</c:v>
                </c:pt>
                <c:pt idx="140">
                  <c:v>8.4432296878828019</c:v>
                </c:pt>
                <c:pt idx="141">
                  <c:v>10.236478645520307</c:v>
                </c:pt>
                <c:pt idx="142">
                  <c:v>11.243063492339411</c:v>
                </c:pt>
                <c:pt idx="143">
                  <c:v>11.593645620586557</c:v>
                </c:pt>
                <c:pt idx="144">
                  <c:v>13.010783045408569</c:v>
                </c:pt>
                <c:pt idx="145">
                  <c:v>13.770359545692369</c:v>
                </c:pt>
                <c:pt idx="146">
                  <c:v>14.904475919061122</c:v>
                </c:pt>
                <c:pt idx="147">
                  <c:v>16.090045846149682</c:v>
                </c:pt>
                <c:pt idx="148">
                  <c:v>17.80087277687452</c:v>
                </c:pt>
                <c:pt idx="149">
                  <c:v>19.783818301677634</c:v>
                </c:pt>
                <c:pt idx="150">
                  <c:v>20.989789249135193</c:v>
                </c:pt>
                <c:pt idx="151">
                  <c:v>21.422636582184772</c:v>
                </c:pt>
                <c:pt idx="152">
                  <c:v>22.041044682793331</c:v>
                </c:pt>
                <c:pt idx="153">
                  <c:v>21.613471324832712</c:v>
                </c:pt>
                <c:pt idx="154">
                  <c:v>21.50653308770789</c:v>
                </c:pt>
                <c:pt idx="155">
                  <c:v>21.469022350762778</c:v>
                </c:pt>
                <c:pt idx="156">
                  <c:v>21.251394830561953</c:v>
                </c:pt>
                <c:pt idx="157">
                  <c:v>21.108715516572229</c:v>
                </c:pt>
                <c:pt idx="158">
                  <c:v>21.066897932693895</c:v>
                </c:pt>
                <c:pt idx="159">
                  <c:v>21.187251293283893</c:v>
                </c:pt>
                <c:pt idx="160">
                  <c:v>20.473362513103165</c:v>
                </c:pt>
                <c:pt idx="161">
                  <c:v>18.744849727096803</c:v>
                </c:pt>
                <c:pt idx="162">
                  <c:v>17.84753353796571</c:v>
                </c:pt>
                <c:pt idx="163">
                  <c:v>17.416687987602096</c:v>
                </c:pt>
                <c:pt idx="164">
                  <c:v>16.742406993399108</c:v>
                </c:pt>
                <c:pt idx="165">
                  <c:v>15.887922024599209</c:v>
                </c:pt>
                <c:pt idx="166">
                  <c:v>15.485825098994699</c:v>
                </c:pt>
                <c:pt idx="167">
                  <c:v>15.050126227608928</c:v>
                </c:pt>
                <c:pt idx="168">
                  <c:v>14.461464891656828</c:v>
                </c:pt>
                <c:pt idx="169">
                  <c:v>14.362181057958455</c:v>
                </c:pt>
                <c:pt idx="170">
                  <c:v>13.560184130576246</c:v>
                </c:pt>
                <c:pt idx="171">
                  <c:v>12.532671464343004</c:v>
                </c:pt>
                <c:pt idx="172">
                  <c:v>12.015433221417027</c:v>
                </c:pt>
                <c:pt idx="173">
                  <c:v>11.267391737052401</c:v>
                </c:pt>
                <c:pt idx="174">
                  <c:v>10.488282805393645</c:v>
                </c:pt>
                <c:pt idx="175">
                  <c:v>10.336142751802413</c:v>
                </c:pt>
                <c:pt idx="176">
                  <c:v>9.9992890155993877</c:v>
                </c:pt>
                <c:pt idx="177">
                  <c:v>10.080450588619971</c:v>
                </c:pt>
                <c:pt idx="178">
                  <c:v>10.010975338607597</c:v>
                </c:pt>
                <c:pt idx="179">
                  <c:v>9.6265103914739072</c:v>
                </c:pt>
                <c:pt idx="180">
                  <c:v>9.3330833693835213</c:v>
                </c:pt>
                <c:pt idx="181">
                  <c:v>9.1076582348730728</c:v>
                </c:pt>
                <c:pt idx="182">
                  <c:v>8.8722943112413688</c:v>
                </c:pt>
                <c:pt idx="183">
                  <c:v>8.6864437705570285</c:v>
                </c:pt>
                <c:pt idx="184">
                  <c:v>8.5169197115615667</c:v>
                </c:pt>
                <c:pt idx="185">
                  <c:v>8.8504489952715417</c:v>
                </c:pt>
                <c:pt idx="186">
                  <c:v>8.9312812978036948</c:v>
                </c:pt>
                <c:pt idx="187">
                  <c:v>8.8037533714561569</c:v>
                </c:pt>
                <c:pt idx="188">
                  <c:v>8.7335433944400584</c:v>
                </c:pt>
                <c:pt idx="189">
                  <c:v>9.1715737104437256</c:v>
                </c:pt>
                <c:pt idx="190">
                  <c:v>9.212280812779694</c:v>
                </c:pt>
                <c:pt idx="191">
                  <c:v>9.6837050440780725</c:v>
                </c:pt>
                <c:pt idx="192">
                  <c:v>9.4409345351280862</c:v>
                </c:pt>
                <c:pt idx="193">
                  <c:v>9.1841086360341606</c:v>
                </c:pt>
                <c:pt idx="194">
                  <c:v>9.0123806600237231</c:v>
                </c:pt>
                <c:pt idx="195">
                  <c:v>9.442364930463242</c:v>
                </c:pt>
                <c:pt idx="196">
                  <c:v>9.2720667011811475</c:v>
                </c:pt>
                <c:pt idx="197">
                  <c:v>8.7430236199280476</c:v>
                </c:pt>
                <c:pt idx="198">
                  <c:v>9.641608259245583</c:v>
                </c:pt>
                <c:pt idx="199">
                  <c:v>9.144216762602797</c:v>
                </c:pt>
                <c:pt idx="200">
                  <c:v>8.7231465207555416</c:v>
                </c:pt>
                <c:pt idx="201">
                  <c:v>7.9511210297795731</c:v>
                </c:pt>
                <c:pt idx="202">
                  <c:v>7.348304415185658</c:v>
                </c:pt>
                <c:pt idx="203">
                  <c:v>6.436102624226181</c:v>
                </c:pt>
                <c:pt idx="204">
                  <c:v>6.3299591023002977</c:v>
                </c:pt>
                <c:pt idx="205">
                  <c:v>5.97210965085333</c:v>
                </c:pt>
                <c:pt idx="206">
                  <c:v>5.6906358171489702</c:v>
                </c:pt>
                <c:pt idx="207">
                  <c:v>4.891444753321017</c:v>
                </c:pt>
                <c:pt idx="208">
                  <c:v>5.2556247877137974</c:v>
                </c:pt>
                <c:pt idx="209">
                  <c:v>5.4334346824340463</c:v>
                </c:pt>
                <c:pt idx="210">
                  <c:v>5.098529681837638</c:v>
                </c:pt>
                <c:pt idx="211">
                  <c:v>5.1685033659365276</c:v>
                </c:pt>
                <c:pt idx="212">
                  <c:v>5.6289004904712225</c:v>
                </c:pt>
                <c:pt idx="213">
                  <c:v>5.9233279350275447</c:v>
                </c:pt>
                <c:pt idx="214">
                  <c:v>6.4159093375863119</c:v>
                </c:pt>
                <c:pt idx="215">
                  <c:v>7.203161418672388</c:v>
                </c:pt>
                <c:pt idx="216">
                  <c:v>7.6532090223352833</c:v>
                </c:pt>
                <c:pt idx="217">
                  <c:v>7.8238620334108111</c:v>
                </c:pt>
                <c:pt idx="218">
                  <c:v>7.8285040577631637</c:v>
                </c:pt>
                <c:pt idx="219">
                  <c:v>8.1222977280273732</c:v>
                </c:pt>
                <c:pt idx="220">
                  <c:v>7.1526080087643606</c:v>
                </c:pt>
                <c:pt idx="221">
                  <c:v>7.274424234062038</c:v>
                </c:pt>
                <c:pt idx="222">
                  <c:v>6.8181203290792025</c:v>
                </c:pt>
                <c:pt idx="223">
                  <c:v>6.9495787005272591</c:v>
                </c:pt>
                <c:pt idx="224">
                  <c:v>6.4107559107615009</c:v>
                </c:pt>
                <c:pt idx="225">
                  <c:v>6.1876038023771063</c:v>
                </c:pt>
                <c:pt idx="226">
                  <c:v>5.8422474160784832</c:v>
                </c:pt>
                <c:pt idx="227">
                  <c:v>5.4558564909514828</c:v>
                </c:pt>
                <c:pt idx="228">
                  <c:v>4.4573932020710361</c:v>
                </c:pt>
                <c:pt idx="229">
                  <c:v>4.5102757520270487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5E-4A48-8F18-FA5786C36C39}"/>
            </c:ext>
          </c:extLst>
        </c:ser>
        <c:ser>
          <c:idx val="2"/>
          <c:order val="2"/>
          <c:tx>
            <c:strRef>
              <c:f>'G2.2'!$M$4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'G2.2'!$M$5:$M$234</c:f>
              <c:numCache>
                <c:formatCode>0.0</c:formatCode>
                <c:ptCount val="230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-6.1706565975343182</c:v>
                </c:pt>
                <c:pt idx="13">
                  <c:v>-9.4036375097870994</c:v>
                </c:pt>
                <c:pt idx="14">
                  <c:v>-14.530999101204401</c:v>
                </c:pt>
                <c:pt idx="15">
                  <c:v>-17.520498325264743</c:v>
                </c:pt>
                <c:pt idx="16">
                  <c:v>-16.905794740345037</c:v>
                </c:pt>
                <c:pt idx="17">
                  <c:v>-17.112593412388367</c:v>
                </c:pt>
                <c:pt idx="18">
                  <c:v>-17.527480609484481</c:v>
                </c:pt>
                <c:pt idx="19">
                  <c:v>-17.652769048611503</c:v>
                </c:pt>
                <c:pt idx="20">
                  <c:v>-22.816478722774558</c:v>
                </c:pt>
                <c:pt idx="21">
                  <c:v>-23.342356455923575</c:v>
                </c:pt>
                <c:pt idx="22">
                  <c:v>-24.194166368476587</c:v>
                </c:pt>
                <c:pt idx="23">
                  <c:v>-25.215662568692011</c:v>
                </c:pt>
                <c:pt idx="24">
                  <c:v>-26.263357381803452</c:v>
                </c:pt>
                <c:pt idx="25">
                  <c:v>-23.320053491295699</c:v>
                </c:pt>
                <c:pt idx="26">
                  <c:v>-19.568523661178862</c:v>
                </c:pt>
                <c:pt idx="27">
                  <c:v>-16.825363213208455</c:v>
                </c:pt>
                <c:pt idx="28">
                  <c:v>-17.815945841872573</c:v>
                </c:pt>
                <c:pt idx="29">
                  <c:v>-16.932625551192928</c:v>
                </c:pt>
                <c:pt idx="30">
                  <c:v>-16.496293339355027</c:v>
                </c:pt>
                <c:pt idx="31">
                  <c:v>-15.956194549548719</c:v>
                </c:pt>
                <c:pt idx="32">
                  <c:v>-10.460447699607334</c:v>
                </c:pt>
                <c:pt idx="33">
                  <c:v>-11.393611074848186</c:v>
                </c:pt>
                <c:pt idx="34">
                  <c:v>-9.6201288213165306</c:v>
                </c:pt>
                <c:pt idx="35">
                  <c:v>-9.5038811225694459</c:v>
                </c:pt>
                <c:pt idx="36">
                  <c:v>-9.2314218089697757</c:v>
                </c:pt>
                <c:pt idx="37">
                  <c:v>-10.38390065221636</c:v>
                </c:pt>
                <c:pt idx="38">
                  <c:v>-10.127319506458488</c:v>
                </c:pt>
                <c:pt idx="39">
                  <c:v>-10.158572715216874</c:v>
                </c:pt>
                <c:pt idx="40">
                  <c:v>-9.5691619037776796</c:v>
                </c:pt>
                <c:pt idx="41">
                  <c:v>-8.9751084064347069</c:v>
                </c:pt>
                <c:pt idx="42">
                  <c:v>-9.3033978049382409</c:v>
                </c:pt>
                <c:pt idx="43">
                  <c:v>-9.6837610877840046</c:v>
                </c:pt>
                <c:pt idx="44">
                  <c:v>-9.6189880304428321</c:v>
                </c:pt>
                <c:pt idx="45">
                  <c:v>-9.6542517210566832</c:v>
                </c:pt>
                <c:pt idx="46">
                  <c:v>-9.6873012021471574</c:v>
                </c:pt>
                <c:pt idx="47">
                  <c:v>-9.8761424728973211</c:v>
                </c:pt>
                <c:pt idx="48">
                  <c:v>-8.6895729637632702</c:v>
                </c:pt>
                <c:pt idx="49">
                  <c:v>-7.7956108348569808</c:v>
                </c:pt>
                <c:pt idx="50">
                  <c:v>-8.0843350149575226</c:v>
                </c:pt>
                <c:pt idx="51">
                  <c:v>-7.9839929194321151</c:v>
                </c:pt>
                <c:pt idx="52">
                  <c:v>-7.830739665383879</c:v>
                </c:pt>
                <c:pt idx="53">
                  <c:v>-9.4999784795691706</c:v>
                </c:pt>
                <c:pt idx="54">
                  <c:v>-9.7707001133827802</c:v>
                </c:pt>
                <c:pt idx="55">
                  <c:v>-9.8162794244012872</c:v>
                </c:pt>
                <c:pt idx="56">
                  <c:v>-9.5440375600683183</c:v>
                </c:pt>
                <c:pt idx="57">
                  <c:v>-9.7657100372090415</c:v>
                </c:pt>
                <c:pt idx="58">
                  <c:v>-9.2815500961661144</c:v>
                </c:pt>
                <c:pt idx="59">
                  <c:v>-9.352235873430903</c:v>
                </c:pt>
                <c:pt idx="60">
                  <c:v>-11.788402030150847</c:v>
                </c:pt>
                <c:pt idx="61">
                  <c:v>-11.188082861979131</c:v>
                </c:pt>
                <c:pt idx="62">
                  <c:v>-10.82467848224027</c:v>
                </c:pt>
                <c:pt idx="63">
                  <c:v>-11.175035675270916</c:v>
                </c:pt>
                <c:pt idx="64">
                  <c:v>-10.892407513572454</c:v>
                </c:pt>
                <c:pt idx="65">
                  <c:v>-11.85211951343128</c:v>
                </c:pt>
                <c:pt idx="66">
                  <c:v>-10.987054054090429</c:v>
                </c:pt>
                <c:pt idx="67">
                  <c:v>-10.758128534811828</c:v>
                </c:pt>
                <c:pt idx="68">
                  <c:v>-8.179244367976036</c:v>
                </c:pt>
                <c:pt idx="69">
                  <c:v>-9.8372464673609485</c:v>
                </c:pt>
                <c:pt idx="70">
                  <c:v>-10.144686956351235</c:v>
                </c:pt>
                <c:pt idx="71">
                  <c:v>-10.927106468716696</c:v>
                </c:pt>
                <c:pt idx="72">
                  <c:v>-12.285190036496763</c:v>
                </c:pt>
                <c:pt idx="73">
                  <c:v>-12.054618328643961</c:v>
                </c:pt>
                <c:pt idx="74">
                  <c:v>-11.837177600527426</c:v>
                </c:pt>
                <c:pt idx="75">
                  <c:v>-12.312158825595354</c:v>
                </c:pt>
                <c:pt idx="76">
                  <c:v>-12.10524547924795</c:v>
                </c:pt>
                <c:pt idx="77">
                  <c:v>-11.081791902017757</c:v>
                </c:pt>
                <c:pt idx="78">
                  <c:v>-11.588470987081301</c:v>
                </c:pt>
                <c:pt idx="79">
                  <c:v>-11.368503326083967</c:v>
                </c:pt>
                <c:pt idx="80">
                  <c:v>-13.798950996751236</c:v>
                </c:pt>
                <c:pt idx="81">
                  <c:v>-12.105894355383761</c:v>
                </c:pt>
                <c:pt idx="82">
                  <c:v>-11.81448450470678</c:v>
                </c:pt>
                <c:pt idx="83">
                  <c:v>-10.602878641658176</c:v>
                </c:pt>
                <c:pt idx="84">
                  <c:v>-7.2684226731151718</c:v>
                </c:pt>
                <c:pt idx="85">
                  <c:v>-7.3930932670018379</c:v>
                </c:pt>
                <c:pt idx="86">
                  <c:v>-6.9592648931596663</c:v>
                </c:pt>
                <c:pt idx="87">
                  <c:v>-5.799765424501901</c:v>
                </c:pt>
                <c:pt idx="88">
                  <c:v>-5.6469794072052881</c:v>
                </c:pt>
                <c:pt idx="89">
                  <c:v>-4.7921710442967225</c:v>
                </c:pt>
                <c:pt idx="90">
                  <c:v>-4.007906277367268</c:v>
                </c:pt>
                <c:pt idx="91">
                  <c:v>-3.1137976894863528</c:v>
                </c:pt>
                <c:pt idx="92">
                  <c:v>-1.4127350571037312</c:v>
                </c:pt>
                <c:pt idx="93">
                  <c:v>1.2895373180674241</c:v>
                </c:pt>
                <c:pt idx="94">
                  <c:v>3.7449729108981256</c:v>
                </c:pt>
                <c:pt idx="95">
                  <c:v>4.9965660313013194</c:v>
                </c:pt>
                <c:pt idx="96">
                  <c:v>6.5842768164900978</c:v>
                </c:pt>
                <c:pt idx="97">
                  <c:v>8.4971425752921483</c:v>
                </c:pt>
                <c:pt idx="98">
                  <c:v>9.955558333492597</c:v>
                </c:pt>
                <c:pt idx="99">
                  <c:v>11.766920977098859</c:v>
                </c:pt>
                <c:pt idx="100">
                  <c:v>12.911163732698338</c:v>
                </c:pt>
                <c:pt idx="101">
                  <c:v>14.884548354835214</c:v>
                </c:pt>
                <c:pt idx="102">
                  <c:v>16.439799590080838</c:v>
                </c:pt>
                <c:pt idx="103">
                  <c:v>16.756007358558666</c:v>
                </c:pt>
                <c:pt idx="104">
                  <c:v>16.236470217305452</c:v>
                </c:pt>
                <c:pt idx="105">
                  <c:v>15.829763064543068</c:v>
                </c:pt>
                <c:pt idx="106">
                  <c:v>17.515893390503166</c:v>
                </c:pt>
                <c:pt idx="107">
                  <c:v>17.827940349124805</c:v>
                </c:pt>
                <c:pt idx="108">
                  <c:v>17.317841077250318</c:v>
                </c:pt>
                <c:pt idx="109">
                  <c:v>16.347619043179652</c:v>
                </c:pt>
                <c:pt idx="110">
                  <c:v>16.401044993485357</c:v>
                </c:pt>
                <c:pt idx="111">
                  <c:v>15.340851180865855</c:v>
                </c:pt>
                <c:pt idx="112">
                  <c:v>15.656551320505695</c:v>
                </c:pt>
                <c:pt idx="113">
                  <c:v>14.672314225982896</c:v>
                </c:pt>
                <c:pt idx="114">
                  <c:v>14.287511115939688</c:v>
                </c:pt>
                <c:pt idx="115">
                  <c:v>14.867877373007964</c:v>
                </c:pt>
                <c:pt idx="116">
                  <c:v>15.124531105296924</c:v>
                </c:pt>
                <c:pt idx="117">
                  <c:v>14.695539403895651</c:v>
                </c:pt>
                <c:pt idx="118">
                  <c:v>11.860413891994215</c:v>
                </c:pt>
                <c:pt idx="119">
                  <c:v>11.563043577757682</c:v>
                </c:pt>
                <c:pt idx="120">
                  <c:v>11.108726038959361</c:v>
                </c:pt>
                <c:pt idx="121">
                  <c:v>11.083856897525223</c:v>
                </c:pt>
                <c:pt idx="122">
                  <c:v>10.179793712957608</c:v>
                </c:pt>
                <c:pt idx="123">
                  <c:v>9.8725145996151564</c:v>
                </c:pt>
                <c:pt idx="124">
                  <c:v>9.274735009988655</c:v>
                </c:pt>
                <c:pt idx="125">
                  <c:v>8.8329264771031433</c:v>
                </c:pt>
                <c:pt idx="126">
                  <c:v>7.9002796608724335</c:v>
                </c:pt>
                <c:pt idx="127">
                  <c:v>7.5129366142874021</c:v>
                </c:pt>
                <c:pt idx="128">
                  <c:v>7.4135951230465791</c:v>
                </c:pt>
                <c:pt idx="129">
                  <c:v>7.8879628826342252</c:v>
                </c:pt>
                <c:pt idx="130">
                  <c:v>8.6099166498922806</c:v>
                </c:pt>
                <c:pt idx="131">
                  <c:v>9.151131381634503</c:v>
                </c:pt>
                <c:pt idx="132">
                  <c:v>9.864232616721802</c:v>
                </c:pt>
                <c:pt idx="133">
                  <c:v>9.9374296105213098</c:v>
                </c:pt>
                <c:pt idx="134">
                  <c:v>10.633809099326207</c:v>
                </c:pt>
                <c:pt idx="135">
                  <c:v>12.057945429173177</c:v>
                </c:pt>
                <c:pt idx="136">
                  <c:v>11.956606090188249</c:v>
                </c:pt>
                <c:pt idx="137">
                  <c:v>12.454463015270578</c:v>
                </c:pt>
                <c:pt idx="138">
                  <c:v>13.319933745599277</c:v>
                </c:pt>
                <c:pt idx="139">
                  <c:v>13.748042190875953</c:v>
                </c:pt>
                <c:pt idx="140">
                  <c:v>14.063259974636644</c:v>
                </c:pt>
                <c:pt idx="141">
                  <c:v>14.154377327740475</c:v>
                </c:pt>
                <c:pt idx="142">
                  <c:v>13.890300808889711</c:v>
                </c:pt>
                <c:pt idx="143">
                  <c:v>13.784946927222009</c:v>
                </c:pt>
                <c:pt idx="144">
                  <c:v>13.863225488027053</c:v>
                </c:pt>
                <c:pt idx="145">
                  <c:v>13.981665146187261</c:v>
                </c:pt>
                <c:pt idx="146">
                  <c:v>14.120069537141866</c:v>
                </c:pt>
                <c:pt idx="147">
                  <c:v>13.837793334019022</c:v>
                </c:pt>
                <c:pt idx="148">
                  <c:v>14.425283594527571</c:v>
                </c:pt>
                <c:pt idx="149">
                  <c:v>14.752962667797377</c:v>
                </c:pt>
                <c:pt idx="150">
                  <c:v>14.999090347300958</c:v>
                </c:pt>
                <c:pt idx="151">
                  <c:v>14.927166316151631</c:v>
                </c:pt>
                <c:pt idx="152">
                  <c:v>15.522666015611119</c:v>
                </c:pt>
                <c:pt idx="153">
                  <c:v>15.297026394319513</c:v>
                </c:pt>
                <c:pt idx="154">
                  <c:v>15.437938265796403</c:v>
                </c:pt>
                <c:pt idx="155">
                  <c:v>15.760489036238766</c:v>
                </c:pt>
                <c:pt idx="156">
                  <c:v>15.828837063308843</c:v>
                </c:pt>
                <c:pt idx="157">
                  <c:v>16.005120269762486</c:v>
                </c:pt>
                <c:pt idx="158">
                  <c:v>15.854756610105515</c:v>
                </c:pt>
                <c:pt idx="159">
                  <c:v>15.986892776942829</c:v>
                </c:pt>
                <c:pt idx="160">
                  <c:v>15.931048362413168</c:v>
                </c:pt>
                <c:pt idx="161">
                  <c:v>15.483183619962016</c:v>
                </c:pt>
                <c:pt idx="162">
                  <c:v>15.161783912957594</c:v>
                </c:pt>
                <c:pt idx="163">
                  <c:v>12.00902012770908</c:v>
                </c:pt>
                <c:pt idx="164">
                  <c:v>11.873508766321006</c:v>
                </c:pt>
                <c:pt idx="165">
                  <c:v>11.671797320714749</c:v>
                </c:pt>
                <c:pt idx="166">
                  <c:v>11.410491672584877</c:v>
                </c:pt>
                <c:pt idx="167">
                  <c:v>11.48160313545128</c:v>
                </c:pt>
                <c:pt idx="168">
                  <c:v>11.660528444073215</c:v>
                </c:pt>
                <c:pt idx="169">
                  <c:v>11.731972169391724</c:v>
                </c:pt>
                <c:pt idx="170">
                  <c:v>11.575332166130249</c:v>
                </c:pt>
                <c:pt idx="171">
                  <c:v>11.103325532940156</c:v>
                </c:pt>
                <c:pt idx="172">
                  <c:v>11.077110238631738</c:v>
                </c:pt>
                <c:pt idx="173">
                  <c:v>11.213361193069527</c:v>
                </c:pt>
                <c:pt idx="174">
                  <c:v>11.20094179906439</c:v>
                </c:pt>
                <c:pt idx="175">
                  <c:v>14.898923582405477</c:v>
                </c:pt>
                <c:pt idx="176">
                  <c:v>14.632370634414116</c:v>
                </c:pt>
                <c:pt idx="177">
                  <c:v>15.067339249008761</c:v>
                </c:pt>
                <c:pt idx="178">
                  <c:v>16.089968231267871</c:v>
                </c:pt>
                <c:pt idx="179">
                  <c:v>16.671333162833069</c:v>
                </c:pt>
                <c:pt idx="180">
                  <c:v>16.696693698995666</c:v>
                </c:pt>
                <c:pt idx="181">
                  <c:v>16.96337918738795</c:v>
                </c:pt>
                <c:pt idx="182">
                  <c:v>17.4378497298326</c:v>
                </c:pt>
                <c:pt idx="183">
                  <c:v>17.534135331541222</c:v>
                </c:pt>
                <c:pt idx="184">
                  <c:v>17.558516579476336</c:v>
                </c:pt>
                <c:pt idx="185">
                  <c:v>18.169070688036015</c:v>
                </c:pt>
                <c:pt idx="186">
                  <c:v>18.152279175428898</c:v>
                </c:pt>
                <c:pt idx="187">
                  <c:v>17.436132411909867</c:v>
                </c:pt>
                <c:pt idx="188">
                  <c:v>17.146171189267491</c:v>
                </c:pt>
                <c:pt idx="189">
                  <c:v>16.809694345290936</c:v>
                </c:pt>
                <c:pt idx="190">
                  <c:v>15.87743433408686</c:v>
                </c:pt>
                <c:pt idx="191">
                  <c:v>14.799995030870438</c:v>
                </c:pt>
                <c:pt idx="192">
                  <c:v>14.182795063438158</c:v>
                </c:pt>
                <c:pt idx="193">
                  <c:v>13.563326495856941</c:v>
                </c:pt>
                <c:pt idx="194">
                  <c:v>12.757690520565546</c:v>
                </c:pt>
                <c:pt idx="195">
                  <c:v>12.490878389932526</c:v>
                </c:pt>
                <c:pt idx="196">
                  <c:v>12.209019646802988</c:v>
                </c:pt>
                <c:pt idx="197">
                  <c:v>10.997848263618382</c:v>
                </c:pt>
                <c:pt idx="198">
                  <c:v>10.768357763883852</c:v>
                </c:pt>
                <c:pt idx="199">
                  <c:v>10.52775733317608</c:v>
                </c:pt>
                <c:pt idx="200">
                  <c:v>10.180907276444184</c:v>
                </c:pt>
                <c:pt idx="201">
                  <c:v>9.983364846029863</c:v>
                </c:pt>
                <c:pt idx="202">
                  <c:v>9.6558917197644654</c:v>
                </c:pt>
                <c:pt idx="203">
                  <c:v>9.6575313155245155</c:v>
                </c:pt>
                <c:pt idx="204">
                  <c:v>9.6891114628053785</c:v>
                </c:pt>
                <c:pt idx="205">
                  <c:v>9.3023716417476301</c:v>
                </c:pt>
                <c:pt idx="206">
                  <c:v>7.5895562627471325</c:v>
                </c:pt>
                <c:pt idx="207">
                  <c:v>7.2318648989189382</c:v>
                </c:pt>
                <c:pt idx="208">
                  <c:v>7.4706458578198465</c:v>
                </c:pt>
                <c:pt idx="209">
                  <c:v>7.8684125266225813</c:v>
                </c:pt>
                <c:pt idx="210">
                  <c:v>7.5953021927961606</c:v>
                </c:pt>
                <c:pt idx="211">
                  <c:v>7.3561299978665007</c:v>
                </c:pt>
                <c:pt idx="212">
                  <c:v>7.4554381625380861</c:v>
                </c:pt>
                <c:pt idx="213">
                  <c:v>7.1425235655987684</c:v>
                </c:pt>
                <c:pt idx="214">
                  <c:v>7.0767496096995952</c:v>
                </c:pt>
                <c:pt idx="215">
                  <c:v>6.4217712375269409</c:v>
                </c:pt>
                <c:pt idx="216">
                  <c:v>7.2953075464468942</c:v>
                </c:pt>
                <c:pt idx="217">
                  <c:v>6.7715106136430281</c:v>
                </c:pt>
                <c:pt idx="218">
                  <c:v>8.3603422725759593</c:v>
                </c:pt>
                <c:pt idx="219">
                  <c:v>8.4532879182501972</c:v>
                </c:pt>
                <c:pt idx="220">
                  <c:v>7.4704560299548417</c:v>
                </c:pt>
                <c:pt idx="221">
                  <c:v>6.9238121261967489</c:v>
                </c:pt>
                <c:pt idx="222">
                  <c:v>7.1551645693287647</c:v>
                </c:pt>
                <c:pt idx="223">
                  <c:v>7.1906643928437264</c:v>
                </c:pt>
                <c:pt idx="224">
                  <c:v>6.8878980619956565</c:v>
                </c:pt>
                <c:pt idx="225">
                  <c:v>6.9817273818617798</c:v>
                </c:pt>
                <c:pt idx="226">
                  <c:v>6.6063405664043007</c:v>
                </c:pt>
                <c:pt idx="227">
                  <c:v>6.833031271789336</c:v>
                </c:pt>
                <c:pt idx="228">
                  <c:v>6.4583419591319524</c:v>
                </c:pt>
                <c:pt idx="229">
                  <c:v>6.7042157706838745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5E-4A48-8F18-FA5786C36C39}"/>
            </c:ext>
          </c:extLst>
        </c:ser>
        <c:ser>
          <c:idx val="3"/>
          <c:order val="3"/>
          <c:tx>
            <c:strRef>
              <c:f>'G2.2'!$N$4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'G2.2'!$N$5:$N$234</c:f>
              <c:numCache>
                <c:formatCode>0.0</c:formatCode>
                <c:ptCount val="230"/>
                <c:pt idx="49">
                  <c:v>261.54970360992172</c:v>
                </c:pt>
                <c:pt idx="50">
                  <c:v>271.12677004990718</c:v>
                </c:pt>
                <c:pt idx="51">
                  <c:v>197.99708672665795</c:v>
                </c:pt>
                <c:pt idx="52">
                  <c:v>175.38332367214156</c:v>
                </c:pt>
                <c:pt idx="53">
                  <c:v>183.91849339295092</c:v>
                </c:pt>
                <c:pt idx="54">
                  <c:v>197.15886454046432</c:v>
                </c:pt>
                <c:pt idx="55">
                  <c:v>217.41529655127465</c:v>
                </c:pt>
                <c:pt idx="56">
                  <c:v>40.235452854654085</c:v>
                </c:pt>
                <c:pt idx="57">
                  <c:v>45.252876041955226</c:v>
                </c:pt>
                <c:pt idx="58">
                  <c:v>43.744447690638786</c:v>
                </c:pt>
                <c:pt idx="59">
                  <c:v>46.963406694504428</c:v>
                </c:pt>
                <c:pt idx="60">
                  <c:v>36.519868456433223</c:v>
                </c:pt>
                <c:pt idx="61">
                  <c:v>34.186225589738541</c:v>
                </c:pt>
                <c:pt idx="62">
                  <c:v>35.670903906905991</c:v>
                </c:pt>
                <c:pt idx="63">
                  <c:v>33.920064717794737</c:v>
                </c:pt>
                <c:pt idx="64">
                  <c:v>42.304801443439779</c:v>
                </c:pt>
                <c:pt idx="65">
                  <c:v>37.651184211943175</c:v>
                </c:pt>
                <c:pt idx="66">
                  <c:v>36.101977637547414</c:v>
                </c:pt>
                <c:pt idx="67">
                  <c:v>30.71151254641833</c:v>
                </c:pt>
                <c:pt idx="68">
                  <c:v>31.284315381969698</c:v>
                </c:pt>
                <c:pt idx="69">
                  <c:v>29.452348883369627</c:v>
                </c:pt>
                <c:pt idx="70">
                  <c:v>30.533295995058964</c:v>
                </c:pt>
                <c:pt idx="71">
                  <c:v>39.159516404376738</c:v>
                </c:pt>
                <c:pt idx="72">
                  <c:v>40.354630518497522</c:v>
                </c:pt>
                <c:pt idx="73">
                  <c:v>43.104459954882437</c:v>
                </c:pt>
                <c:pt idx="74">
                  <c:v>45.236253837641897</c:v>
                </c:pt>
                <c:pt idx="75">
                  <c:v>49.670093287849745</c:v>
                </c:pt>
                <c:pt idx="76">
                  <c:v>56.741569166781389</c:v>
                </c:pt>
                <c:pt idx="77">
                  <c:v>62.162215929528216</c:v>
                </c:pt>
                <c:pt idx="78">
                  <c:v>64.55221227145536</c:v>
                </c:pt>
                <c:pt idx="79">
                  <c:v>64.241143098203651</c:v>
                </c:pt>
                <c:pt idx="80">
                  <c:v>62.910429986077652</c:v>
                </c:pt>
                <c:pt idx="81">
                  <c:v>60.111527511166017</c:v>
                </c:pt>
                <c:pt idx="82">
                  <c:v>52.429316092583477</c:v>
                </c:pt>
                <c:pt idx="83">
                  <c:v>44.945498736813548</c:v>
                </c:pt>
                <c:pt idx="84">
                  <c:v>43.020287901065672</c:v>
                </c:pt>
                <c:pt idx="85">
                  <c:v>39.877141158229357</c:v>
                </c:pt>
                <c:pt idx="86">
                  <c:v>37.559907845563224</c:v>
                </c:pt>
                <c:pt idx="87">
                  <c:v>37.376494944297669</c:v>
                </c:pt>
                <c:pt idx="88">
                  <c:v>36.841379156236172</c:v>
                </c:pt>
                <c:pt idx="89">
                  <c:v>30.767704312789256</c:v>
                </c:pt>
                <c:pt idx="90">
                  <c:v>31.376252830375595</c:v>
                </c:pt>
                <c:pt idx="91">
                  <c:v>32.127064436511901</c:v>
                </c:pt>
                <c:pt idx="92">
                  <c:v>31.233124144226544</c:v>
                </c:pt>
                <c:pt idx="93">
                  <c:v>30.700705113689786</c:v>
                </c:pt>
                <c:pt idx="94">
                  <c:v>34.277301309098718</c:v>
                </c:pt>
                <c:pt idx="95">
                  <c:v>29.201904685433377</c:v>
                </c:pt>
                <c:pt idx="96">
                  <c:v>28.922018997866282</c:v>
                </c:pt>
                <c:pt idx="97">
                  <c:v>29.494822671098685</c:v>
                </c:pt>
                <c:pt idx="98">
                  <c:v>26.824286655612937</c:v>
                </c:pt>
                <c:pt idx="99">
                  <c:v>26.472108653161229</c:v>
                </c:pt>
                <c:pt idx="100">
                  <c:v>24.237649488632119</c:v>
                </c:pt>
                <c:pt idx="101">
                  <c:v>26.268007220912605</c:v>
                </c:pt>
                <c:pt idx="102">
                  <c:v>21.853845312747588</c:v>
                </c:pt>
                <c:pt idx="103">
                  <c:v>18.399725016359692</c:v>
                </c:pt>
                <c:pt idx="104">
                  <c:v>15.844919360081722</c:v>
                </c:pt>
                <c:pt idx="105">
                  <c:v>14.895067201449619</c:v>
                </c:pt>
                <c:pt idx="106">
                  <c:v>13.733638520023073</c:v>
                </c:pt>
                <c:pt idx="107">
                  <c:v>13.440278954948903</c:v>
                </c:pt>
                <c:pt idx="108">
                  <c:v>12.515934195320689</c:v>
                </c:pt>
                <c:pt idx="109">
                  <c:v>10.23173973922642</c:v>
                </c:pt>
                <c:pt idx="110">
                  <c:v>10.369060870230506</c:v>
                </c:pt>
                <c:pt idx="111">
                  <c:v>7.5359212925196539</c:v>
                </c:pt>
                <c:pt idx="112">
                  <c:v>8.9434818829022831</c:v>
                </c:pt>
                <c:pt idx="113">
                  <c:v>10.896607002795866</c:v>
                </c:pt>
                <c:pt idx="114">
                  <c:v>14.866492450426749</c:v>
                </c:pt>
                <c:pt idx="115">
                  <c:v>16.952964352808753</c:v>
                </c:pt>
                <c:pt idx="116">
                  <c:v>19.221301079304041</c:v>
                </c:pt>
                <c:pt idx="117">
                  <c:v>20.076101192761818</c:v>
                </c:pt>
                <c:pt idx="118">
                  <c:v>19.592969033223341</c:v>
                </c:pt>
                <c:pt idx="119">
                  <c:v>35.417729031949129</c:v>
                </c:pt>
                <c:pt idx="120">
                  <c:v>48.285231199296085</c:v>
                </c:pt>
                <c:pt idx="121">
                  <c:v>51.008865765994486</c:v>
                </c:pt>
                <c:pt idx="122">
                  <c:v>53.20997697156411</c:v>
                </c:pt>
                <c:pt idx="123">
                  <c:v>55.973741443627098</c:v>
                </c:pt>
                <c:pt idx="124">
                  <c:v>55.707770395048037</c:v>
                </c:pt>
                <c:pt idx="125">
                  <c:v>55.51840950482709</c:v>
                </c:pt>
                <c:pt idx="126">
                  <c:v>52.099120842457737</c:v>
                </c:pt>
                <c:pt idx="127">
                  <c:v>51.431893635213434</c:v>
                </c:pt>
                <c:pt idx="128">
                  <c:v>51.000505162985888</c:v>
                </c:pt>
                <c:pt idx="129">
                  <c:v>49.803096496183485</c:v>
                </c:pt>
                <c:pt idx="130">
                  <c:v>50.759294200267348</c:v>
                </c:pt>
                <c:pt idx="131">
                  <c:v>32.457429228706538</c:v>
                </c:pt>
                <c:pt idx="132">
                  <c:v>20.92214033612656</c:v>
                </c:pt>
                <c:pt idx="133">
                  <c:v>19.006652317391492</c:v>
                </c:pt>
                <c:pt idx="134">
                  <c:v>16.840299173622732</c:v>
                </c:pt>
                <c:pt idx="135">
                  <c:v>14.410706404341278</c:v>
                </c:pt>
                <c:pt idx="136">
                  <c:v>12.215324324058784</c:v>
                </c:pt>
                <c:pt idx="137">
                  <c:v>10.137751072605372</c:v>
                </c:pt>
                <c:pt idx="138">
                  <c:v>9.0215622611575785</c:v>
                </c:pt>
                <c:pt idx="139">
                  <c:v>7.6443300928985547</c:v>
                </c:pt>
                <c:pt idx="140">
                  <c:v>7.3887412464528346</c:v>
                </c:pt>
                <c:pt idx="141">
                  <c:v>7.1337865252310895</c:v>
                </c:pt>
                <c:pt idx="142">
                  <c:v>7.2835206313262013</c:v>
                </c:pt>
                <c:pt idx="143">
                  <c:v>8.3413528097147314</c:v>
                </c:pt>
                <c:pt idx="144">
                  <c:v>9.0409802282520602</c:v>
                </c:pt>
                <c:pt idx="145">
                  <c:v>9.4870444656874895</c:v>
                </c:pt>
                <c:pt idx="146">
                  <c:v>24.05871032947222</c:v>
                </c:pt>
                <c:pt idx="147">
                  <c:v>26.354018233496589</c:v>
                </c:pt>
                <c:pt idx="148">
                  <c:v>27.838237196894443</c:v>
                </c:pt>
                <c:pt idx="149">
                  <c:v>29.719241600019309</c:v>
                </c:pt>
                <c:pt idx="150">
                  <c:v>30.807478101844854</c:v>
                </c:pt>
                <c:pt idx="151">
                  <c:v>32.125598137689003</c:v>
                </c:pt>
                <c:pt idx="152">
                  <c:v>32.971682474038609</c:v>
                </c:pt>
                <c:pt idx="153">
                  <c:v>33.559225182436371</c:v>
                </c:pt>
                <c:pt idx="154">
                  <c:v>34.050743019423301</c:v>
                </c:pt>
                <c:pt idx="155">
                  <c:v>34.322996174578854</c:v>
                </c:pt>
                <c:pt idx="156">
                  <c:v>34.113208266437958</c:v>
                </c:pt>
                <c:pt idx="157">
                  <c:v>34.741479044882809</c:v>
                </c:pt>
                <c:pt idx="158">
                  <c:v>19.662592020514037</c:v>
                </c:pt>
                <c:pt idx="159">
                  <c:v>19.479279219279878</c:v>
                </c:pt>
                <c:pt idx="160">
                  <c:v>18.487064223369188</c:v>
                </c:pt>
                <c:pt idx="161">
                  <c:v>17.847609382860075</c:v>
                </c:pt>
                <c:pt idx="162">
                  <c:v>17.857420264950985</c:v>
                </c:pt>
                <c:pt idx="163">
                  <c:v>18.028661230558818</c:v>
                </c:pt>
                <c:pt idx="164">
                  <c:v>17.755726323388643</c:v>
                </c:pt>
                <c:pt idx="165">
                  <c:v>17.412288957108135</c:v>
                </c:pt>
                <c:pt idx="166">
                  <c:v>16.959542870624421</c:v>
                </c:pt>
                <c:pt idx="167">
                  <c:v>16.71138150406226</c:v>
                </c:pt>
                <c:pt idx="168">
                  <c:v>16.915244202965283</c:v>
                </c:pt>
                <c:pt idx="169">
                  <c:v>17.05672273722303</c:v>
                </c:pt>
                <c:pt idx="170">
                  <c:v>17.094219825597335</c:v>
                </c:pt>
                <c:pt idx="171">
                  <c:v>16.561147613960369</c:v>
                </c:pt>
                <c:pt idx="172">
                  <c:v>17.640397920950001</c:v>
                </c:pt>
                <c:pt idx="173">
                  <c:v>17.99829704894773</c:v>
                </c:pt>
                <c:pt idx="174">
                  <c:v>17.357759518693538</c:v>
                </c:pt>
                <c:pt idx="175">
                  <c:v>17.53612527929014</c:v>
                </c:pt>
                <c:pt idx="176">
                  <c:v>16.774378308523019</c:v>
                </c:pt>
                <c:pt idx="177">
                  <c:v>16.451493331816103</c:v>
                </c:pt>
                <c:pt idx="178">
                  <c:v>14.177862232459916</c:v>
                </c:pt>
                <c:pt idx="179">
                  <c:v>14.271581028642078</c:v>
                </c:pt>
                <c:pt idx="180">
                  <c:v>14.635288196233564</c:v>
                </c:pt>
                <c:pt idx="181">
                  <c:v>13.616312841863444</c:v>
                </c:pt>
                <c:pt idx="182">
                  <c:v>12.889394924698362</c:v>
                </c:pt>
                <c:pt idx="183">
                  <c:v>13.125152177593048</c:v>
                </c:pt>
                <c:pt idx="184">
                  <c:v>12.1420220179292</c:v>
                </c:pt>
                <c:pt idx="185">
                  <c:v>11.493533271939382</c:v>
                </c:pt>
                <c:pt idx="186">
                  <c:v>10.824870888797822</c:v>
                </c:pt>
                <c:pt idx="187">
                  <c:v>9.705182491898622</c:v>
                </c:pt>
                <c:pt idx="188">
                  <c:v>8.9439616290073012</c:v>
                </c:pt>
                <c:pt idx="189">
                  <c:v>8.4162886975337479</c:v>
                </c:pt>
                <c:pt idx="190">
                  <c:v>8.9757026856039701</c:v>
                </c:pt>
                <c:pt idx="191">
                  <c:v>7.735305740253029</c:v>
                </c:pt>
                <c:pt idx="192">
                  <c:v>5.9943379342295211</c:v>
                </c:pt>
                <c:pt idx="193">
                  <c:v>5.8440746250928877</c:v>
                </c:pt>
                <c:pt idx="194">
                  <c:v>16.316932804870767</c:v>
                </c:pt>
                <c:pt idx="195">
                  <c:v>15.437823716801823</c:v>
                </c:pt>
                <c:pt idx="196">
                  <c:v>15.016030753462717</c:v>
                </c:pt>
                <c:pt idx="197">
                  <c:v>13.729744090128815</c:v>
                </c:pt>
                <c:pt idx="198">
                  <c:v>13.534557906533994</c:v>
                </c:pt>
                <c:pt idx="199">
                  <c:v>12.881817763452275</c:v>
                </c:pt>
                <c:pt idx="200">
                  <c:v>11.542683767508732</c:v>
                </c:pt>
                <c:pt idx="201">
                  <c:v>10.732873161204392</c:v>
                </c:pt>
                <c:pt idx="202">
                  <c:v>10.273554239133919</c:v>
                </c:pt>
                <c:pt idx="203">
                  <c:v>9.8001577914135432</c:v>
                </c:pt>
                <c:pt idx="204">
                  <c:v>9.6285934473624213</c:v>
                </c:pt>
                <c:pt idx="205">
                  <c:v>9.0938550269955556</c:v>
                </c:pt>
                <c:pt idx="206">
                  <c:v>-1.310296547346812</c:v>
                </c:pt>
                <c:pt idx="207">
                  <c:v>-2.0390529301307248</c:v>
                </c:pt>
                <c:pt idx="208">
                  <c:v>-1.5912469062905332</c:v>
                </c:pt>
                <c:pt idx="209">
                  <c:v>-1.2935434085696196</c:v>
                </c:pt>
                <c:pt idx="210">
                  <c:v>-1.7568572494322865</c:v>
                </c:pt>
                <c:pt idx="211">
                  <c:v>-1.6976982721621403</c:v>
                </c:pt>
                <c:pt idx="212">
                  <c:v>-0.13951851184795805</c:v>
                </c:pt>
                <c:pt idx="213">
                  <c:v>0.36424683200835251</c:v>
                </c:pt>
                <c:pt idx="214">
                  <c:v>0.50706337237635957</c:v>
                </c:pt>
                <c:pt idx="215">
                  <c:v>0.94132246502443007</c:v>
                </c:pt>
                <c:pt idx="216">
                  <c:v>1.4526544733308722</c:v>
                </c:pt>
                <c:pt idx="217">
                  <c:v>1.988348638689108</c:v>
                </c:pt>
                <c:pt idx="218">
                  <c:v>2.3033129788602391</c:v>
                </c:pt>
                <c:pt idx="219">
                  <c:v>2.8406874894770562</c:v>
                </c:pt>
                <c:pt idx="220">
                  <c:v>1.8228850161139398</c:v>
                </c:pt>
                <c:pt idx="221">
                  <c:v>1.8526378925678211</c:v>
                </c:pt>
                <c:pt idx="222">
                  <c:v>3.2913332640427839</c:v>
                </c:pt>
                <c:pt idx="223">
                  <c:v>3.9140497548902919</c:v>
                </c:pt>
                <c:pt idx="224">
                  <c:v>3.4383082592919445</c:v>
                </c:pt>
                <c:pt idx="225">
                  <c:v>3.3089396301800633</c:v>
                </c:pt>
                <c:pt idx="226">
                  <c:v>2.9558708904358744</c:v>
                </c:pt>
                <c:pt idx="227">
                  <c:v>2.8439516565729628</c:v>
                </c:pt>
                <c:pt idx="228">
                  <c:v>2.6021733837664263</c:v>
                </c:pt>
                <c:pt idx="229">
                  <c:v>2.8329385332446222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75E-4A48-8F18-FA5786C36C39}"/>
            </c:ext>
          </c:extLst>
        </c:ser>
        <c:ser>
          <c:idx val="7"/>
          <c:order val="4"/>
          <c:tx>
            <c:strRef>
              <c:f>'G2.2'!$O$4</c:f>
              <c:strCache>
                <c:ptCount val="1"/>
                <c:pt idx="0">
                  <c:v>Total con titularizaciones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  <c:extLst xmlns:c15="http://schemas.microsoft.com/office/drawing/2012/chart"/>
            </c:numRef>
          </c:cat>
          <c:val>
            <c:numRef>
              <c:f>'G2.2'!$O$5:$O$234</c:f>
              <c:numCache>
                <c:formatCode>0.0</c:formatCode>
                <c:ptCount val="230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-12.811181450250618</c:v>
                </c:pt>
                <c:pt idx="13">
                  <c:v>-14.376485066392386</c:v>
                </c:pt>
                <c:pt idx="14">
                  <c:v>-16.671609181780077</c:v>
                </c:pt>
                <c:pt idx="15">
                  <c:v>-17.923529791760153</c:v>
                </c:pt>
                <c:pt idx="16">
                  <c:v>-17.392955114334974</c:v>
                </c:pt>
                <c:pt idx="17">
                  <c:v>-16.76319218083977</c:v>
                </c:pt>
                <c:pt idx="18">
                  <c:v>-15.538970287567377</c:v>
                </c:pt>
                <c:pt idx="19">
                  <c:v>-15.586229334686397</c:v>
                </c:pt>
                <c:pt idx="20">
                  <c:v>-15.493474592930145</c:v>
                </c:pt>
                <c:pt idx="21">
                  <c:v>-16.388167902472929</c:v>
                </c:pt>
                <c:pt idx="22">
                  <c:v>-16.487069166158609</c:v>
                </c:pt>
                <c:pt idx="23">
                  <c:v>-17.035226913439327</c:v>
                </c:pt>
                <c:pt idx="24">
                  <c:v>-15.598966540780779</c:v>
                </c:pt>
                <c:pt idx="25">
                  <c:v>-14.370217163915211</c:v>
                </c:pt>
                <c:pt idx="26">
                  <c:v>-10.454007185984882</c:v>
                </c:pt>
                <c:pt idx="27">
                  <c:v>-8.9129741619270124</c:v>
                </c:pt>
                <c:pt idx="28">
                  <c:v>-9.7743223188637369</c:v>
                </c:pt>
                <c:pt idx="29">
                  <c:v>-9.4662309378682696</c:v>
                </c:pt>
                <c:pt idx="30">
                  <c:v>-8.5896454971160274</c:v>
                </c:pt>
                <c:pt idx="31">
                  <c:v>-8.3441465084923454</c:v>
                </c:pt>
                <c:pt idx="32">
                  <c:v>-7.1411594411749491</c:v>
                </c:pt>
                <c:pt idx="33">
                  <c:v>-7.2636713751562549</c:v>
                </c:pt>
                <c:pt idx="34">
                  <c:v>-5.2803073499354536</c:v>
                </c:pt>
                <c:pt idx="35">
                  <c:v>-4.5423553532725975</c:v>
                </c:pt>
                <c:pt idx="36">
                  <c:v>-5.3255638328123078</c:v>
                </c:pt>
                <c:pt idx="37">
                  <c:v>-5.5635673404778263</c:v>
                </c:pt>
                <c:pt idx="38">
                  <c:v>-5.0090559199201135</c:v>
                </c:pt>
                <c:pt idx="39">
                  <c:v>-4.7503099340837851</c:v>
                </c:pt>
                <c:pt idx="40">
                  <c:v>-3.7431598464734317</c:v>
                </c:pt>
                <c:pt idx="41">
                  <c:v>-3.5470860067192467</c:v>
                </c:pt>
                <c:pt idx="42">
                  <c:v>-3.4998924128079922</c:v>
                </c:pt>
                <c:pt idx="43">
                  <c:v>-1.7409913187477088</c:v>
                </c:pt>
                <c:pt idx="44">
                  <c:v>-1.286880713076366</c:v>
                </c:pt>
                <c:pt idx="45">
                  <c:v>2.6452551265077062E-2</c:v>
                </c:pt>
                <c:pt idx="46">
                  <c:v>0.12908648926144295</c:v>
                </c:pt>
                <c:pt idx="47">
                  <c:v>0.60670491078977928</c:v>
                </c:pt>
                <c:pt idx="48">
                  <c:v>2.2209490483257932</c:v>
                </c:pt>
                <c:pt idx="49">
                  <c:v>3.1365402026438893</c:v>
                </c:pt>
                <c:pt idx="50">
                  <c:v>3.0432206541705309</c:v>
                </c:pt>
                <c:pt idx="51">
                  <c:v>3.5685024522361219</c:v>
                </c:pt>
                <c:pt idx="52">
                  <c:v>4.5628118689043706</c:v>
                </c:pt>
                <c:pt idx="53">
                  <c:v>4.4335368749154558</c:v>
                </c:pt>
                <c:pt idx="54">
                  <c:v>2.7527008269290443</c:v>
                </c:pt>
                <c:pt idx="55">
                  <c:v>1.5808934307647515</c:v>
                </c:pt>
                <c:pt idx="56">
                  <c:v>1.7733351704808165</c:v>
                </c:pt>
                <c:pt idx="57">
                  <c:v>1.0318805373746409</c:v>
                </c:pt>
                <c:pt idx="58">
                  <c:v>2.2374100696945787</c:v>
                </c:pt>
                <c:pt idx="59">
                  <c:v>1.6202684556677838</c:v>
                </c:pt>
                <c:pt idx="60">
                  <c:v>0.2588032276510166</c:v>
                </c:pt>
                <c:pt idx="61">
                  <c:v>5.3070495523464212</c:v>
                </c:pt>
                <c:pt idx="62">
                  <c:v>5.9776027348520167</c:v>
                </c:pt>
                <c:pt idx="63">
                  <c:v>4.8373778464841477</c:v>
                </c:pt>
                <c:pt idx="64">
                  <c:v>5.2314587133141632</c:v>
                </c:pt>
                <c:pt idx="65">
                  <c:v>6.1657474628002529</c:v>
                </c:pt>
                <c:pt idx="66">
                  <c:v>8.8552047140161285</c:v>
                </c:pt>
                <c:pt idx="67">
                  <c:v>10.050966705417741</c:v>
                </c:pt>
                <c:pt idx="68">
                  <c:v>11.399288588717393</c:v>
                </c:pt>
                <c:pt idx="69">
                  <c:v>11.909791294454175</c:v>
                </c:pt>
                <c:pt idx="70">
                  <c:v>11.594637572068422</c:v>
                </c:pt>
                <c:pt idx="71">
                  <c:v>12.904649425876258</c:v>
                </c:pt>
                <c:pt idx="72">
                  <c:v>14.303451409425838</c:v>
                </c:pt>
                <c:pt idx="73">
                  <c:v>9.45235192225371</c:v>
                </c:pt>
                <c:pt idx="74">
                  <c:v>9.4859448321373172</c:v>
                </c:pt>
                <c:pt idx="75">
                  <c:v>12.080621480489073</c:v>
                </c:pt>
                <c:pt idx="76">
                  <c:v>12.394880557262745</c:v>
                </c:pt>
                <c:pt idx="77">
                  <c:v>12.13835645264172</c:v>
                </c:pt>
                <c:pt idx="78">
                  <c:v>12.180821919031404</c:v>
                </c:pt>
                <c:pt idx="79">
                  <c:v>11.428428838440219</c:v>
                </c:pt>
                <c:pt idx="80">
                  <c:v>9.6960050005407528</c:v>
                </c:pt>
                <c:pt idx="81">
                  <c:v>10.08589429196638</c:v>
                </c:pt>
                <c:pt idx="82">
                  <c:v>10.406336238058135</c:v>
                </c:pt>
                <c:pt idx="83">
                  <c:v>10.179865494069684</c:v>
                </c:pt>
                <c:pt idx="84">
                  <c:v>11.552402737564105</c:v>
                </c:pt>
                <c:pt idx="85">
                  <c:v>12.988901816398712</c:v>
                </c:pt>
                <c:pt idx="86">
                  <c:v>14.599775338285559</c:v>
                </c:pt>
                <c:pt idx="87">
                  <c:v>13.507711421551495</c:v>
                </c:pt>
                <c:pt idx="88">
                  <c:v>15.634045915771244</c:v>
                </c:pt>
                <c:pt idx="89">
                  <c:v>17.859310917478233</c:v>
                </c:pt>
                <c:pt idx="90">
                  <c:v>19.284815894914932</c:v>
                </c:pt>
                <c:pt idx="91">
                  <c:v>20.910801571144198</c:v>
                </c:pt>
                <c:pt idx="92">
                  <c:v>22.796866429669073</c:v>
                </c:pt>
                <c:pt idx="93">
                  <c:v>23.901925547156424</c:v>
                </c:pt>
                <c:pt idx="94">
                  <c:v>25.621893044001752</c:v>
                </c:pt>
                <c:pt idx="95">
                  <c:v>27.014507158765365</c:v>
                </c:pt>
                <c:pt idx="96">
                  <c:v>26.681653326318532</c:v>
                </c:pt>
                <c:pt idx="97">
                  <c:v>26.053644878524885</c:v>
                </c:pt>
                <c:pt idx="98">
                  <c:v>26.13035118128353</c:v>
                </c:pt>
                <c:pt idx="99">
                  <c:v>28.26192581003415</c:v>
                </c:pt>
                <c:pt idx="100">
                  <c:v>26.276709810461686</c:v>
                </c:pt>
                <c:pt idx="101">
                  <c:v>25.755273818686231</c:v>
                </c:pt>
                <c:pt idx="102">
                  <c:v>24.604494561746538</c:v>
                </c:pt>
                <c:pt idx="103">
                  <c:v>24.351599471232998</c:v>
                </c:pt>
                <c:pt idx="104">
                  <c:v>24.486653940646818</c:v>
                </c:pt>
                <c:pt idx="105">
                  <c:v>24.359174006851436</c:v>
                </c:pt>
                <c:pt idx="106">
                  <c:v>23.715619936765187</c:v>
                </c:pt>
                <c:pt idx="107">
                  <c:v>23.079710183306435</c:v>
                </c:pt>
                <c:pt idx="108">
                  <c:v>21.324498350058185</c:v>
                </c:pt>
                <c:pt idx="109">
                  <c:v>20.246564587082915</c:v>
                </c:pt>
                <c:pt idx="110">
                  <c:v>19.0496922792764</c:v>
                </c:pt>
                <c:pt idx="111">
                  <c:v>17.456569755058936</c:v>
                </c:pt>
                <c:pt idx="112">
                  <c:v>16.727340331638231</c:v>
                </c:pt>
                <c:pt idx="113">
                  <c:v>15.097247759386967</c:v>
                </c:pt>
                <c:pt idx="114">
                  <c:v>15.288805699579267</c:v>
                </c:pt>
                <c:pt idx="115">
                  <c:v>14.247741532657043</c:v>
                </c:pt>
                <c:pt idx="116">
                  <c:v>13.76849488031613</c:v>
                </c:pt>
                <c:pt idx="117">
                  <c:v>13.508731706746513</c:v>
                </c:pt>
                <c:pt idx="118">
                  <c:v>13.430502121240263</c:v>
                </c:pt>
                <c:pt idx="119">
                  <c:v>12.902807172966501</c:v>
                </c:pt>
                <c:pt idx="120">
                  <c:v>12.171583839405242</c:v>
                </c:pt>
                <c:pt idx="121">
                  <c:v>12.063698711543026</c:v>
                </c:pt>
                <c:pt idx="122">
                  <c:v>10.748077536426969</c:v>
                </c:pt>
                <c:pt idx="123">
                  <c:v>9.7114233143126061</c:v>
                </c:pt>
                <c:pt idx="124">
                  <c:v>8.7342912697808917</c:v>
                </c:pt>
                <c:pt idx="125">
                  <c:v>9.3066059232437048</c:v>
                </c:pt>
                <c:pt idx="126">
                  <c:v>7.2139632433132705</c:v>
                </c:pt>
                <c:pt idx="127">
                  <c:v>5.9203868211190835</c:v>
                </c:pt>
                <c:pt idx="128">
                  <c:v>3.5089744561587866</c:v>
                </c:pt>
                <c:pt idx="129">
                  <c:v>1.5424224037352774</c:v>
                </c:pt>
                <c:pt idx="130">
                  <c:v>-5.3600418144084117E-2</c:v>
                </c:pt>
                <c:pt idx="131">
                  <c:v>-1.1362961843911945</c:v>
                </c:pt>
                <c:pt idx="132">
                  <c:v>-0.30623168836843018</c:v>
                </c:pt>
                <c:pt idx="133">
                  <c:v>-0.5656845843442504</c:v>
                </c:pt>
                <c:pt idx="134">
                  <c:v>0.17364982701821852</c:v>
                </c:pt>
                <c:pt idx="135">
                  <c:v>1.0217196698600439</c:v>
                </c:pt>
                <c:pt idx="136">
                  <c:v>1.8106511425598715</c:v>
                </c:pt>
                <c:pt idx="137">
                  <c:v>1.3697385925129257</c:v>
                </c:pt>
                <c:pt idx="138">
                  <c:v>2.6509294479715173</c:v>
                </c:pt>
                <c:pt idx="139">
                  <c:v>4.0438024299604081</c:v>
                </c:pt>
                <c:pt idx="140">
                  <c:v>6.5078234725163497</c:v>
                </c:pt>
                <c:pt idx="141">
                  <c:v>8.9425234810422527</c:v>
                </c:pt>
                <c:pt idx="142">
                  <c:v>10.258569409153973</c:v>
                </c:pt>
                <c:pt idx="143">
                  <c:v>12.996825166736548</c:v>
                </c:pt>
                <c:pt idx="144">
                  <c:v>14.580701078956594</c:v>
                </c:pt>
                <c:pt idx="145">
                  <c:v>14.847167653156014</c:v>
                </c:pt>
                <c:pt idx="146">
                  <c:v>16.54466076826364</c:v>
                </c:pt>
                <c:pt idx="147">
                  <c:v>17.653258661396663</c:v>
                </c:pt>
                <c:pt idx="148">
                  <c:v>18.597313918095558</c:v>
                </c:pt>
                <c:pt idx="149">
                  <c:v>19.825657850950474</c:v>
                </c:pt>
                <c:pt idx="150">
                  <c:v>19.672235285243911</c:v>
                </c:pt>
                <c:pt idx="151">
                  <c:v>20.041023204691498</c:v>
                </c:pt>
                <c:pt idx="152">
                  <c:v>20.36029656402625</c:v>
                </c:pt>
                <c:pt idx="153">
                  <c:v>19.936482948196943</c:v>
                </c:pt>
                <c:pt idx="154">
                  <c:v>19.115247362570976</c:v>
                </c:pt>
                <c:pt idx="155">
                  <c:v>18.835550882369233</c:v>
                </c:pt>
                <c:pt idx="156">
                  <c:v>17.263458425298815</c:v>
                </c:pt>
                <c:pt idx="157">
                  <c:v>17.043025700206105</c:v>
                </c:pt>
                <c:pt idx="158">
                  <c:v>15.747344603262725</c:v>
                </c:pt>
                <c:pt idx="159">
                  <c:v>15.553443777867271</c:v>
                </c:pt>
                <c:pt idx="160">
                  <c:v>15.203166871259777</c:v>
                </c:pt>
                <c:pt idx="161">
                  <c:v>14.276753083555715</c:v>
                </c:pt>
                <c:pt idx="162">
                  <c:v>14.020179095199548</c:v>
                </c:pt>
                <c:pt idx="163">
                  <c:v>13.523953522697552</c:v>
                </c:pt>
                <c:pt idx="164">
                  <c:v>12.736169348169391</c:v>
                </c:pt>
                <c:pt idx="165">
                  <c:v>11.48912435040006</c:v>
                </c:pt>
                <c:pt idx="166">
                  <c:v>11.549745012565005</c:v>
                </c:pt>
                <c:pt idx="167">
                  <c:v>10.948305910917311</c:v>
                </c:pt>
                <c:pt idx="168">
                  <c:v>11.858996062609716</c:v>
                </c:pt>
                <c:pt idx="169">
                  <c:v>12.337079099446168</c:v>
                </c:pt>
                <c:pt idx="170">
                  <c:v>12.221625823500904</c:v>
                </c:pt>
                <c:pt idx="171">
                  <c:v>11.727339634015754</c:v>
                </c:pt>
                <c:pt idx="172">
                  <c:v>11.708061320112773</c:v>
                </c:pt>
                <c:pt idx="173">
                  <c:v>11.657205091290624</c:v>
                </c:pt>
                <c:pt idx="174">
                  <c:v>12.108714126898711</c:v>
                </c:pt>
                <c:pt idx="175">
                  <c:v>11.818510732000753</c:v>
                </c:pt>
                <c:pt idx="176">
                  <c:v>12.034674261724287</c:v>
                </c:pt>
                <c:pt idx="177">
                  <c:v>12.321983012127568</c:v>
                </c:pt>
                <c:pt idx="178">
                  <c:v>11.861990455981509</c:v>
                </c:pt>
                <c:pt idx="179">
                  <c:v>11.011148137694882</c:v>
                </c:pt>
                <c:pt idx="180">
                  <c:v>10.037039841983763</c:v>
                </c:pt>
                <c:pt idx="181">
                  <c:v>10.524399109506488</c:v>
                </c:pt>
                <c:pt idx="182">
                  <c:v>10.863078756177668</c:v>
                </c:pt>
                <c:pt idx="183">
                  <c:v>10.827632850328728</c:v>
                </c:pt>
                <c:pt idx="184">
                  <c:v>10.809908358560127</c:v>
                </c:pt>
                <c:pt idx="185">
                  <c:v>10.744596929568285</c:v>
                </c:pt>
                <c:pt idx="186">
                  <c:v>10.406261896479286</c:v>
                </c:pt>
                <c:pt idx="187">
                  <c:v>10.183593298113269</c:v>
                </c:pt>
                <c:pt idx="188">
                  <c:v>9.7393718428944389</c:v>
                </c:pt>
                <c:pt idx="189">
                  <c:v>9.5736535044560469</c:v>
                </c:pt>
                <c:pt idx="190">
                  <c:v>9.7831325604651695</c:v>
                </c:pt>
                <c:pt idx="191">
                  <c:v>10.505778840491221</c:v>
                </c:pt>
                <c:pt idx="192">
                  <c:v>11.311991292389223</c:v>
                </c:pt>
                <c:pt idx="193">
                  <c:v>12.503826495619187</c:v>
                </c:pt>
                <c:pt idx="194">
                  <c:v>12.598122651598009</c:v>
                </c:pt>
                <c:pt idx="195">
                  <c:v>12.766403123869651</c:v>
                </c:pt>
                <c:pt idx="196">
                  <c:v>11.728545787035038</c:v>
                </c:pt>
                <c:pt idx="197">
                  <c:v>11.689543400326464</c:v>
                </c:pt>
                <c:pt idx="198">
                  <c:v>11.89089545007127</c:v>
                </c:pt>
                <c:pt idx="199">
                  <c:v>12.716835332850817</c:v>
                </c:pt>
                <c:pt idx="200">
                  <c:v>14.065910576716224</c:v>
                </c:pt>
                <c:pt idx="201">
                  <c:v>13.146462995345631</c:v>
                </c:pt>
                <c:pt idx="202">
                  <c:v>12.622588807530954</c:v>
                </c:pt>
                <c:pt idx="203">
                  <c:v>11.568851268473201</c:v>
                </c:pt>
                <c:pt idx="204">
                  <c:v>10.057465185163306</c:v>
                </c:pt>
                <c:pt idx="205">
                  <c:v>8.4123333777272649</c:v>
                </c:pt>
                <c:pt idx="206">
                  <c:v>7.6677117563517694</c:v>
                </c:pt>
                <c:pt idx="207">
                  <c:v>6.0650384221742515</c:v>
                </c:pt>
                <c:pt idx="208">
                  <c:v>6.4322278319922876</c:v>
                </c:pt>
                <c:pt idx="209">
                  <c:v>6.1348820789839831</c:v>
                </c:pt>
                <c:pt idx="210">
                  <c:v>4.7546269162236143</c:v>
                </c:pt>
                <c:pt idx="211">
                  <c:v>4.2767258883929182</c:v>
                </c:pt>
                <c:pt idx="212">
                  <c:v>2.5287998404890599</c:v>
                </c:pt>
                <c:pt idx="213">
                  <c:v>2.625862385091593</c:v>
                </c:pt>
                <c:pt idx="214">
                  <c:v>2.6368005605501121</c:v>
                </c:pt>
                <c:pt idx="215">
                  <c:v>2.5205249792252582</c:v>
                </c:pt>
                <c:pt idx="216">
                  <c:v>2.3981919032464383</c:v>
                </c:pt>
                <c:pt idx="217">
                  <c:v>1.4285418643721792</c:v>
                </c:pt>
                <c:pt idx="218">
                  <c:v>1.2300439098452909</c:v>
                </c:pt>
                <c:pt idx="219">
                  <c:v>2.0147345086070523</c:v>
                </c:pt>
                <c:pt idx="220">
                  <c:v>1.7848072855360275</c:v>
                </c:pt>
                <c:pt idx="221">
                  <c:v>1.2593810601893685</c:v>
                </c:pt>
                <c:pt idx="222">
                  <c:v>2.1230738099935031</c:v>
                </c:pt>
                <c:pt idx="223">
                  <c:v>1.5306069097149155</c:v>
                </c:pt>
                <c:pt idx="224">
                  <c:v>1.2899808183732153</c:v>
                </c:pt>
                <c:pt idx="225">
                  <c:v>1.6875261738396485</c:v>
                </c:pt>
                <c:pt idx="226">
                  <c:v>1.5537030961653597</c:v>
                </c:pt>
                <c:pt idx="227">
                  <c:v>1.0788888346815462</c:v>
                </c:pt>
                <c:pt idx="228">
                  <c:v>1.2483417952588116</c:v>
                </c:pt>
                <c:pt idx="229">
                  <c:v>1.5887582394696453</c:v>
                </c:pt>
              </c:numCache>
              <c:extLst xmlns:c15="http://schemas.microsoft.com/office/drawing/2012/chart"/>
            </c:numRef>
          </c:val>
          <c:smooth val="0"/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6-C75E-4A48-8F18-FA5786C3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77008"/>
        <c:axId val="156972720"/>
        <c:extLst/>
      </c:lineChart>
      <c:dateAx>
        <c:axId val="158277008"/>
        <c:scaling>
          <c:orientation val="minMax"/>
          <c:min val="3944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56972720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156972720"/>
        <c:scaling>
          <c:orientation val="minMax"/>
          <c:max val="60"/>
          <c:min val="-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58277008"/>
        <c:crosses val="autoZero"/>
        <c:crossBetween val="midCat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0256410256410256"/>
          <c:y val="0.81798167858910353"/>
          <c:w val="0.73128205128205126"/>
          <c:h val="0.155137421213308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'G2.2'!$J$4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B4A-40B2-B971-EE320ECBCA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'G2.2'!$J$5:$J$234</c:f>
              <c:numCache>
                <c:formatCode>0.0</c:formatCode>
                <c:ptCount val="230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-9.4153219839563036</c:v>
                </c:pt>
                <c:pt idx="13">
                  <c:v>-9.9083681371133316</c:v>
                </c:pt>
                <c:pt idx="14">
                  <c:v>-10.935895624168868</c:v>
                </c:pt>
                <c:pt idx="15">
                  <c:v>-11.775309078759634</c:v>
                </c:pt>
                <c:pt idx="16">
                  <c:v>-11.409797754277617</c:v>
                </c:pt>
                <c:pt idx="17">
                  <c:v>-10.956752350946697</c:v>
                </c:pt>
                <c:pt idx="18">
                  <c:v>-10.426062331898201</c:v>
                </c:pt>
                <c:pt idx="19">
                  <c:v>-12.061217731379337</c:v>
                </c:pt>
                <c:pt idx="20">
                  <c:v>-9.9852873496231069</c:v>
                </c:pt>
                <c:pt idx="21">
                  <c:v>-11.809135661398562</c:v>
                </c:pt>
                <c:pt idx="22">
                  <c:v>-11.593379491591282</c:v>
                </c:pt>
                <c:pt idx="23">
                  <c:v>-12.23387156255632</c:v>
                </c:pt>
                <c:pt idx="24">
                  <c:v>-10.253037479832505</c:v>
                </c:pt>
                <c:pt idx="25">
                  <c:v>-9.9445199908670396</c:v>
                </c:pt>
                <c:pt idx="26">
                  <c:v>-6.1812315775592879</c:v>
                </c:pt>
                <c:pt idx="27">
                  <c:v>-5.2217853946458721</c:v>
                </c:pt>
                <c:pt idx="28">
                  <c:v>-6.0622045393119883</c:v>
                </c:pt>
                <c:pt idx="29">
                  <c:v>-6.2376082223217661</c:v>
                </c:pt>
                <c:pt idx="30">
                  <c:v>-4.7209185101186328</c:v>
                </c:pt>
                <c:pt idx="31">
                  <c:v>-4.6813972580378005</c:v>
                </c:pt>
                <c:pt idx="32">
                  <c:v>-5.5742846877301027</c:v>
                </c:pt>
                <c:pt idx="33">
                  <c:v>-5.7939701046244574</c:v>
                </c:pt>
                <c:pt idx="34">
                  <c:v>-4.1516014596082451</c:v>
                </c:pt>
                <c:pt idx="35">
                  <c:v>-3.8939407711486518</c:v>
                </c:pt>
                <c:pt idx="36">
                  <c:v>-5.9027181949756535</c:v>
                </c:pt>
                <c:pt idx="37">
                  <c:v>-3.4130002480412092</c:v>
                </c:pt>
                <c:pt idx="38">
                  <c:v>-2.6461139814544787</c:v>
                </c:pt>
                <c:pt idx="39">
                  <c:v>-2.15995687483721</c:v>
                </c:pt>
                <c:pt idx="40">
                  <c:v>-1.244475920636301</c:v>
                </c:pt>
                <c:pt idx="41">
                  <c:v>-1.6918143066068869</c:v>
                </c:pt>
                <c:pt idx="42">
                  <c:v>-1.4950856155472869</c:v>
                </c:pt>
                <c:pt idx="43">
                  <c:v>1.3752250151921386</c:v>
                </c:pt>
                <c:pt idx="44">
                  <c:v>0.92474118703000929</c:v>
                </c:pt>
                <c:pt idx="45">
                  <c:v>2.9800659489625181</c:v>
                </c:pt>
                <c:pt idx="46">
                  <c:v>3.057453601247162</c:v>
                </c:pt>
                <c:pt idx="47">
                  <c:v>4.44886987995321</c:v>
                </c:pt>
                <c:pt idx="48">
                  <c:v>6.3717348351581604</c:v>
                </c:pt>
                <c:pt idx="49">
                  <c:v>4.5209742139831643</c:v>
                </c:pt>
                <c:pt idx="50">
                  <c:v>4.5667260940357446</c:v>
                </c:pt>
                <c:pt idx="51">
                  <c:v>4.9286851581291424</c:v>
                </c:pt>
                <c:pt idx="52">
                  <c:v>6.3829319531938822</c:v>
                </c:pt>
                <c:pt idx="53">
                  <c:v>7.4130200479681996</c:v>
                </c:pt>
                <c:pt idx="54">
                  <c:v>4.1616696868717495</c:v>
                </c:pt>
                <c:pt idx="55">
                  <c:v>2.0265133336279773</c:v>
                </c:pt>
                <c:pt idx="56">
                  <c:v>2.8614970116604743</c:v>
                </c:pt>
                <c:pt idx="57">
                  <c:v>1.6717921004048897</c:v>
                </c:pt>
                <c:pt idx="58">
                  <c:v>3.3062542916723947</c:v>
                </c:pt>
                <c:pt idx="59">
                  <c:v>2.0351665416134423</c:v>
                </c:pt>
                <c:pt idx="60">
                  <c:v>0.57038889353318023</c:v>
                </c:pt>
                <c:pt idx="61">
                  <c:v>8.1723206557118964</c:v>
                </c:pt>
                <c:pt idx="62">
                  <c:v>8.8379473367253603</c:v>
                </c:pt>
                <c:pt idx="63">
                  <c:v>6.6075655049923743</c:v>
                </c:pt>
                <c:pt idx="64">
                  <c:v>6.748870400364626</c:v>
                </c:pt>
                <c:pt idx="65">
                  <c:v>8.4697563140958785</c:v>
                </c:pt>
                <c:pt idx="66">
                  <c:v>12.627508046397473</c:v>
                </c:pt>
                <c:pt idx="67">
                  <c:v>14.544488402955725</c:v>
                </c:pt>
                <c:pt idx="68">
                  <c:v>15.593246665955384</c:v>
                </c:pt>
                <c:pt idx="69">
                  <c:v>16.396130958044441</c:v>
                </c:pt>
                <c:pt idx="70">
                  <c:v>15.585914632057097</c:v>
                </c:pt>
                <c:pt idx="71">
                  <c:v>17.538107468448572</c:v>
                </c:pt>
                <c:pt idx="72">
                  <c:v>19.848016019485005</c:v>
                </c:pt>
                <c:pt idx="73">
                  <c:v>11.835469894827067</c:v>
                </c:pt>
                <c:pt idx="74">
                  <c:v>11.274012913960551</c:v>
                </c:pt>
                <c:pt idx="75">
                  <c:v>15.474709692370702</c:v>
                </c:pt>
                <c:pt idx="76">
                  <c:v>15.44910601217504</c:v>
                </c:pt>
                <c:pt idx="77">
                  <c:v>14.204126547570839</c:v>
                </c:pt>
                <c:pt idx="78">
                  <c:v>13.879940151856363</c:v>
                </c:pt>
                <c:pt idx="79">
                  <c:v>12.111230145581198</c:v>
                </c:pt>
                <c:pt idx="80">
                  <c:v>9.8046680355598603</c:v>
                </c:pt>
                <c:pt idx="81">
                  <c:v>9.3738159162397814</c:v>
                </c:pt>
                <c:pt idx="82">
                  <c:v>9.6545853183285004</c:v>
                </c:pt>
                <c:pt idx="83">
                  <c:v>8.4855526527821681</c:v>
                </c:pt>
                <c:pt idx="84">
                  <c:v>9.0367113900968974</c:v>
                </c:pt>
                <c:pt idx="85">
                  <c:v>10.95200767341311</c:v>
                </c:pt>
                <c:pt idx="86">
                  <c:v>12.715199452407088</c:v>
                </c:pt>
                <c:pt idx="87">
                  <c:v>9.7326517081707244</c:v>
                </c:pt>
                <c:pt idx="88">
                  <c:v>12.701416695885005</c:v>
                </c:pt>
                <c:pt idx="89">
                  <c:v>15.290788402772936</c:v>
                </c:pt>
                <c:pt idx="90">
                  <c:v>16.946283148406629</c:v>
                </c:pt>
                <c:pt idx="91">
                  <c:v>19.12477760637854</c:v>
                </c:pt>
                <c:pt idx="92">
                  <c:v>21.297055159615152</c:v>
                </c:pt>
                <c:pt idx="93">
                  <c:v>21.863980927122139</c:v>
                </c:pt>
                <c:pt idx="94">
                  <c:v>23.503015539475534</c:v>
                </c:pt>
                <c:pt idx="95">
                  <c:v>25.492448500818664</c:v>
                </c:pt>
                <c:pt idx="96">
                  <c:v>24.669838692877221</c:v>
                </c:pt>
                <c:pt idx="97">
                  <c:v>23.280769085125886</c:v>
                </c:pt>
                <c:pt idx="98">
                  <c:v>23.371895083209736</c:v>
                </c:pt>
                <c:pt idx="99">
                  <c:v>26.111832152513603</c:v>
                </c:pt>
                <c:pt idx="100">
                  <c:v>22.690984577646155</c:v>
                </c:pt>
                <c:pt idx="101">
                  <c:v>22.135876986255141</c:v>
                </c:pt>
                <c:pt idx="102">
                  <c:v>20.341797941836013</c:v>
                </c:pt>
                <c:pt idx="103">
                  <c:v>20.206812549103503</c:v>
                </c:pt>
                <c:pt idx="104">
                  <c:v>21.296294025735186</c:v>
                </c:pt>
                <c:pt idx="105">
                  <c:v>22.154777855405761</c:v>
                </c:pt>
                <c:pt idx="106">
                  <c:v>20.35168975684476</c:v>
                </c:pt>
                <c:pt idx="107">
                  <c:v>20.340626635026272</c:v>
                </c:pt>
                <c:pt idx="108">
                  <c:v>18.572608929127419</c:v>
                </c:pt>
                <c:pt idx="109">
                  <c:v>17.800908723183916</c:v>
                </c:pt>
                <c:pt idx="110">
                  <c:v>16.723003718067254</c:v>
                </c:pt>
                <c:pt idx="111">
                  <c:v>15.963060842821331</c:v>
                </c:pt>
                <c:pt idx="112">
                  <c:v>15.652140562602114</c:v>
                </c:pt>
                <c:pt idx="113">
                  <c:v>13.626821273876089</c:v>
                </c:pt>
                <c:pt idx="114">
                  <c:v>15.063197922736492</c:v>
                </c:pt>
                <c:pt idx="115">
                  <c:v>13.78044854335403</c:v>
                </c:pt>
                <c:pt idx="116">
                  <c:v>13.492447720562662</c:v>
                </c:pt>
                <c:pt idx="117">
                  <c:v>13.729010397668917</c:v>
                </c:pt>
                <c:pt idx="118">
                  <c:v>15.744382728584426</c:v>
                </c:pt>
                <c:pt idx="119">
                  <c:v>14.852442855812665</c:v>
                </c:pt>
                <c:pt idx="120">
                  <c:v>14.071289287180267</c:v>
                </c:pt>
                <c:pt idx="121">
                  <c:v>14.42053480064709</c:v>
                </c:pt>
                <c:pt idx="122">
                  <c:v>13.069265447619017</c:v>
                </c:pt>
                <c:pt idx="123">
                  <c:v>11.997848478540973</c:v>
                </c:pt>
                <c:pt idx="124">
                  <c:v>11.34453872684098</c:v>
                </c:pt>
                <c:pt idx="125">
                  <c:v>13.057177270392707</c:v>
                </c:pt>
                <c:pt idx="126">
                  <c:v>9.7657151109811213</c:v>
                </c:pt>
                <c:pt idx="127">
                  <c:v>8.1100148885792542</c:v>
                </c:pt>
                <c:pt idx="128">
                  <c:v>4.2518775869879732</c:v>
                </c:pt>
                <c:pt idx="129">
                  <c:v>1.1124224050187648</c:v>
                </c:pt>
                <c:pt idx="130">
                  <c:v>-1.5770500344763683</c:v>
                </c:pt>
                <c:pt idx="131">
                  <c:v>-3.6369708867774908</c:v>
                </c:pt>
                <c:pt idx="132">
                  <c:v>-2.3188642297981565</c:v>
                </c:pt>
                <c:pt idx="133">
                  <c:v>-3.0530030457678548</c:v>
                </c:pt>
                <c:pt idx="134">
                  <c:v>-2.4653683147507044</c:v>
                </c:pt>
                <c:pt idx="135">
                  <c:v>-1.9300277752130723</c:v>
                </c:pt>
                <c:pt idx="136">
                  <c:v>-1.078142384669456</c:v>
                </c:pt>
                <c:pt idx="137">
                  <c:v>-2.3994725290548358</c:v>
                </c:pt>
                <c:pt idx="138">
                  <c:v>-0.89352292481890139</c:v>
                </c:pt>
                <c:pt idx="139">
                  <c:v>0.77269199041298808</c:v>
                </c:pt>
                <c:pt idx="140">
                  <c:v>4.1915219383822144</c:v>
                </c:pt>
                <c:pt idx="141">
                  <c:v>7.4362657477454741</c:v>
                </c:pt>
                <c:pt idx="142">
                  <c:v>9.2323283090612875</c:v>
                </c:pt>
                <c:pt idx="143">
                  <c:v>13.668751774570097</c:v>
                </c:pt>
                <c:pt idx="144">
                  <c:v>15.664428924060548</c:v>
                </c:pt>
                <c:pt idx="145">
                  <c:v>15.739415248273936</c:v>
                </c:pt>
                <c:pt idx="146">
                  <c:v>17.473400462725142</c:v>
                </c:pt>
                <c:pt idx="147">
                  <c:v>18.795349861390665</c:v>
                </c:pt>
                <c:pt idx="148">
                  <c:v>19.442376898617454</c:v>
                </c:pt>
                <c:pt idx="149">
                  <c:v>20.491733855489503</c:v>
                </c:pt>
                <c:pt idx="150">
                  <c:v>19.58749921749201</c:v>
                </c:pt>
                <c:pt idx="151">
                  <c:v>19.983483416204972</c:v>
                </c:pt>
                <c:pt idx="152">
                  <c:v>20.084014035793139</c:v>
                </c:pt>
                <c:pt idx="153">
                  <c:v>19.579734640846127</c:v>
                </c:pt>
                <c:pt idx="154">
                  <c:v>18.180113262518628</c:v>
                </c:pt>
                <c:pt idx="155">
                  <c:v>17.663206855447953</c:v>
                </c:pt>
                <c:pt idx="156">
                  <c:v>15.125159511529308</c:v>
                </c:pt>
                <c:pt idx="157">
                  <c:v>14.726039206167375</c:v>
                </c:pt>
                <c:pt idx="158">
                  <c:v>13.183139202399241</c:v>
                </c:pt>
                <c:pt idx="159">
                  <c:v>12.781361795332447</c:v>
                </c:pt>
                <c:pt idx="160">
                  <c:v>12.541632454350516</c:v>
                </c:pt>
                <c:pt idx="161">
                  <c:v>11.852735161540441</c:v>
                </c:pt>
                <c:pt idx="162">
                  <c:v>11.866743679092927</c:v>
                </c:pt>
                <c:pt idx="163">
                  <c:v>11.830843047919281</c:v>
                </c:pt>
                <c:pt idx="164">
                  <c:v>10.826900445330455</c:v>
                </c:pt>
                <c:pt idx="165">
                  <c:v>9.1602311259320288</c:v>
                </c:pt>
                <c:pt idx="166">
                  <c:v>9.500139945595576</c:v>
                </c:pt>
                <c:pt idx="167">
                  <c:v>8.7018201773210855</c:v>
                </c:pt>
                <c:pt idx="168">
                  <c:v>10.457677776858665</c:v>
                </c:pt>
                <c:pt idx="169">
                  <c:v>11.281525993115714</c:v>
                </c:pt>
                <c:pt idx="170">
                  <c:v>11.487535145577832</c:v>
                </c:pt>
                <c:pt idx="171">
                  <c:v>11.242097417343677</c:v>
                </c:pt>
                <c:pt idx="172">
                  <c:v>11.411290004423137</c:v>
                </c:pt>
                <c:pt idx="173">
                  <c:v>11.638944217584047</c:v>
                </c:pt>
                <c:pt idx="174">
                  <c:v>12.829928110019416</c:v>
                </c:pt>
                <c:pt idx="175">
                  <c:v>11.649023910038547</c:v>
                </c:pt>
                <c:pt idx="176">
                  <c:v>12.274333762819879</c:v>
                </c:pt>
                <c:pt idx="177">
                  <c:v>12.658926345253342</c:v>
                </c:pt>
                <c:pt idx="178">
                  <c:v>11.794349627743594</c:v>
                </c:pt>
                <c:pt idx="179">
                  <c:v>10.383931685479775</c:v>
                </c:pt>
                <c:pt idx="180">
                  <c:v>8.8157252098530101</c:v>
                </c:pt>
                <c:pt idx="181">
                  <c:v>9.7505933986353313</c:v>
                </c:pt>
                <c:pt idx="182">
                  <c:v>10.389728081588579</c:v>
                </c:pt>
                <c:pt idx="183">
                  <c:v>10.383077127627981</c:v>
                </c:pt>
                <c:pt idx="184">
                  <c:v>10.475505172278087</c:v>
                </c:pt>
                <c:pt idx="185">
                  <c:v>10.103794745462281</c:v>
                </c:pt>
                <c:pt idx="186">
                  <c:v>9.5183683852222636</c:v>
                </c:pt>
                <c:pt idx="187">
                  <c:v>9.3765342707701862</c:v>
                </c:pt>
                <c:pt idx="188">
                  <c:v>8.7332579204294269</c:v>
                </c:pt>
                <c:pt idx="189">
                  <c:v>8.3241206770063858</c:v>
                </c:pt>
                <c:pt idx="190">
                  <c:v>8.8116577150797237</c:v>
                </c:pt>
                <c:pt idx="191">
                  <c:v>10.127972087963144</c:v>
                </c:pt>
                <c:pt idx="192">
                  <c:v>11.870347919942969</c:v>
                </c:pt>
                <c:pt idx="193">
                  <c:v>14.216843626913089</c:v>
                </c:pt>
                <c:pt idx="194">
                  <c:v>14.093083426525643</c:v>
                </c:pt>
                <c:pt idx="195">
                  <c:v>14.277849857448599</c:v>
                </c:pt>
                <c:pt idx="196">
                  <c:v>12.627100959711646</c:v>
                </c:pt>
                <c:pt idx="197">
                  <c:v>13.136487660190156</c:v>
                </c:pt>
                <c:pt idx="198">
                  <c:v>13.111974978197205</c:v>
                </c:pt>
                <c:pt idx="199">
                  <c:v>14.889738295846522</c:v>
                </c:pt>
                <c:pt idx="200">
                  <c:v>17.607121175000316</c:v>
                </c:pt>
                <c:pt idx="201">
                  <c:v>16.474717200458343</c:v>
                </c:pt>
                <c:pt idx="202">
                  <c:v>15.959553013338223</c:v>
                </c:pt>
                <c:pt idx="203">
                  <c:v>14.542764975172972</c:v>
                </c:pt>
                <c:pt idx="204">
                  <c:v>11.923381722173465</c:v>
                </c:pt>
                <c:pt idx="205">
                  <c:v>9.3157341889109411</c:v>
                </c:pt>
                <c:pt idx="206">
                  <c:v>9.0485141961390791</c:v>
                </c:pt>
                <c:pt idx="207">
                  <c:v>6.764469363605774</c:v>
                </c:pt>
                <c:pt idx="208">
                  <c:v>7.161813385942839</c:v>
                </c:pt>
                <c:pt idx="209">
                  <c:v>6.4568227923983201</c:v>
                </c:pt>
                <c:pt idx="210">
                  <c:v>4.3157519337714945</c:v>
                </c:pt>
                <c:pt idx="211">
                  <c:v>3.5143889014490171</c:v>
                </c:pt>
                <c:pt idx="212">
                  <c:v>0.2621650455719271</c:v>
                </c:pt>
                <c:pt idx="213">
                  <c:v>0.31056431878284663</c:v>
                </c:pt>
                <c:pt idx="214">
                  <c:v>0.10229143498561299</c:v>
                </c:pt>
                <c:pt idx="215">
                  <c:v>-0.32066027594277458</c:v>
                </c:pt>
                <c:pt idx="216">
                  <c:v>-0.97491281792086992</c:v>
                </c:pt>
                <c:pt idx="217">
                  <c:v>-2.6147439187309107</c:v>
                </c:pt>
                <c:pt idx="218">
                  <c:v>-3.2520964272236053</c:v>
                </c:pt>
                <c:pt idx="219">
                  <c:v>-2.1499897451594863</c:v>
                </c:pt>
                <c:pt idx="220">
                  <c:v>-1.8843302041745669</c:v>
                </c:pt>
                <c:pt idx="221">
                  <c:v>-2.7161061692619115</c:v>
                </c:pt>
                <c:pt idx="222">
                  <c:v>-1.1961288056308916</c:v>
                </c:pt>
                <c:pt idx="223">
                  <c:v>-2.3128177136654382</c:v>
                </c:pt>
                <c:pt idx="224">
                  <c:v>-2.4420443928189983</c:v>
                </c:pt>
                <c:pt idx="225">
                  <c:v>-1.7025920115667503</c:v>
                </c:pt>
                <c:pt idx="226">
                  <c:v>-1.7048870820024487</c:v>
                </c:pt>
                <c:pt idx="227">
                  <c:v>-2.4090512702139466</c:v>
                </c:pt>
                <c:pt idx="228">
                  <c:v>-1.6021906094095484</c:v>
                </c:pt>
                <c:pt idx="229">
                  <c:v>-1.13103211674489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22-41B5-9E9E-69E2CA05C8A7}"/>
            </c:ext>
          </c:extLst>
        </c:ser>
        <c:ser>
          <c:idx val="1"/>
          <c:order val="1"/>
          <c:tx>
            <c:strRef>
              <c:f>'G2.2'!$K$4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4A-40B2-B971-EE320ECBCA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'G2.2'!$K$5:$K$234</c:f>
              <c:numCache>
                <c:formatCode>0.0</c:formatCode>
                <c:ptCount val="230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-33.535319306317078</c:v>
                </c:pt>
                <c:pt idx="13">
                  <c:v>-34.85214192973671</c:v>
                </c:pt>
                <c:pt idx="14">
                  <c:v>-36.213307909809089</c:v>
                </c:pt>
                <c:pt idx="15">
                  <c:v>-36.212912450696024</c:v>
                </c:pt>
                <c:pt idx="16">
                  <c:v>-35.466749755427514</c:v>
                </c:pt>
                <c:pt idx="17">
                  <c:v>-33.363978945663341</c:v>
                </c:pt>
                <c:pt idx="18">
                  <c:v>-27.934953125460339</c:v>
                </c:pt>
                <c:pt idx="19">
                  <c:v>-23.391552204365475</c:v>
                </c:pt>
                <c:pt idx="20">
                  <c:v>-19.735861275956701</c:v>
                </c:pt>
                <c:pt idx="21">
                  <c:v>-18.459998021791758</c:v>
                </c:pt>
                <c:pt idx="22">
                  <c:v>-18.116293395643179</c:v>
                </c:pt>
                <c:pt idx="23">
                  <c:v>-17.372188988585879</c:v>
                </c:pt>
                <c:pt idx="24">
                  <c:v>-12.157424455560683</c:v>
                </c:pt>
                <c:pt idx="25">
                  <c:v>-11.85828270931253</c:v>
                </c:pt>
                <c:pt idx="26">
                  <c:v>-7.2329875846265601</c:v>
                </c:pt>
                <c:pt idx="27">
                  <c:v>-6.3913126703545764</c:v>
                </c:pt>
                <c:pt idx="28">
                  <c:v>-6.961664617360297</c:v>
                </c:pt>
                <c:pt idx="29">
                  <c:v>-6.0762809465027656</c:v>
                </c:pt>
                <c:pt idx="30">
                  <c:v>-6.8817782544275179</c:v>
                </c:pt>
                <c:pt idx="31">
                  <c:v>-6.5133609638452601</c:v>
                </c:pt>
                <c:pt idx="32">
                  <c:v>-6.7717072366423769</c:v>
                </c:pt>
                <c:pt idx="33">
                  <c:v>-4.9204904050470404</c:v>
                </c:pt>
                <c:pt idx="34">
                  <c:v>-1.2811364721197149</c:v>
                </c:pt>
                <c:pt idx="35">
                  <c:v>2.4833747433863795</c:v>
                </c:pt>
                <c:pt idx="36">
                  <c:v>4.5767566025469053</c:v>
                </c:pt>
                <c:pt idx="37">
                  <c:v>-6.3321346812759245</c:v>
                </c:pt>
                <c:pt idx="38">
                  <c:v>-6.099168732430293</c:v>
                </c:pt>
                <c:pt idx="39">
                  <c:v>-6.598414996432167</c:v>
                </c:pt>
                <c:pt idx="40">
                  <c:v>-4.4328676030741976</c:v>
                </c:pt>
                <c:pt idx="41">
                  <c:v>-2.3761848244121642</c:v>
                </c:pt>
                <c:pt idx="42">
                  <c:v>-2.3088953347878749</c:v>
                </c:pt>
                <c:pt idx="43">
                  <c:v>-0.88714729615285703</c:v>
                </c:pt>
                <c:pt idx="44">
                  <c:v>1.2012038828769889</c:v>
                </c:pt>
                <c:pt idx="45">
                  <c:v>1.8319126748955972</c:v>
                </c:pt>
                <c:pt idx="46">
                  <c:v>1.8385917376382066</c:v>
                </c:pt>
                <c:pt idx="47">
                  <c:v>-0.19453967769276215</c:v>
                </c:pt>
                <c:pt idx="48">
                  <c:v>0.55308842595493957</c:v>
                </c:pt>
                <c:pt idx="49">
                  <c:v>13.495031172407002</c:v>
                </c:pt>
                <c:pt idx="50">
                  <c:v>12.840843173558092</c:v>
                </c:pt>
                <c:pt idx="51">
                  <c:v>15.357312687690516</c:v>
                </c:pt>
                <c:pt idx="52">
                  <c:v>16.188002035696549</c:v>
                </c:pt>
                <c:pt idx="53">
                  <c:v>13.981375975838905</c:v>
                </c:pt>
                <c:pt idx="54">
                  <c:v>15.558217027871212</c:v>
                </c:pt>
                <c:pt idx="55">
                  <c:v>15.295924973444496</c:v>
                </c:pt>
                <c:pt idx="56">
                  <c:v>14.667196368677216</c:v>
                </c:pt>
                <c:pt idx="57">
                  <c:v>14.102265709480655</c:v>
                </c:pt>
                <c:pt idx="58">
                  <c:v>14.41702026749514</c:v>
                </c:pt>
                <c:pt idx="59">
                  <c:v>14.86423995692685</c:v>
                </c:pt>
                <c:pt idx="60">
                  <c:v>15.686726886107483</c:v>
                </c:pt>
                <c:pt idx="61">
                  <c:v>17.654259202154222</c:v>
                </c:pt>
                <c:pt idx="62">
                  <c:v>18.428128765498531</c:v>
                </c:pt>
                <c:pt idx="63">
                  <c:v>20.22400828449511</c:v>
                </c:pt>
                <c:pt idx="64">
                  <c:v>21.013282756522255</c:v>
                </c:pt>
                <c:pt idx="65">
                  <c:v>21.558742416172862</c:v>
                </c:pt>
                <c:pt idx="66">
                  <c:v>21.270047462685614</c:v>
                </c:pt>
                <c:pt idx="67">
                  <c:v>20.933895484286392</c:v>
                </c:pt>
                <c:pt idx="68">
                  <c:v>21.313677089647641</c:v>
                </c:pt>
                <c:pt idx="69">
                  <c:v>23.135520483449913</c:v>
                </c:pt>
                <c:pt idx="70">
                  <c:v>23.808154708683205</c:v>
                </c:pt>
                <c:pt idx="71">
                  <c:v>24.447023160391179</c:v>
                </c:pt>
                <c:pt idx="72">
                  <c:v>25.198555794238374</c:v>
                </c:pt>
                <c:pt idx="73">
                  <c:v>23.485583677354537</c:v>
                </c:pt>
                <c:pt idx="74">
                  <c:v>24.883317632109648</c:v>
                </c:pt>
                <c:pt idx="75">
                  <c:v>25.036826952629497</c:v>
                </c:pt>
                <c:pt idx="76">
                  <c:v>25.780690862934751</c:v>
                </c:pt>
                <c:pt idx="77">
                  <c:v>26.369426069640124</c:v>
                </c:pt>
                <c:pt idx="78">
                  <c:v>27.710856011679972</c:v>
                </c:pt>
                <c:pt idx="79">
                  <c:v>28.75799539902637</c:v>
                </c:pt>
                <c:pt idx="80">
                  <c:v>29.605119471280815</c:v>
                </c:pt>
                <c:pt idx="81">
                  <c:v>30.358497995024901</c:v>
                </c:pt>
                <c:pt idx="82">
                  <c:v>30.520702093272511</c:v>
                </c:pt>
                <c:pt idx="83">
                  <c:v>31.495855389492554</c:v>
                </c:pt>
                <c:pt idx="84">
                  <c:v>32.938498483639478</c:v>
                </c:pt>
                <c:pt idx="85">
                  <c:v>33.97871109582784</c:v>
                </c:pt>
                <c:pt idx="86">
                  <c:v>35.833102015705578</c:v>
                </c:pt>
                <c:pt idx="87">
                  <c:v>38.459799436945666</c:v>
                </c:pt>
                <c:pt idx="88">
                  <c:v>38.947239862359126</c:v>
                </c:pt>
                <c:pt idx="89">
                  <c:v>41.11941254068001</c:v>
                </c:pt>
                <c:pt idx="90">
                  <c:v>41.867902596470039</c:v>
                </c:pt>
                <c:pt idx="91">
                  <c:v>41.728110419387711</c:v>
                </c:pt>
                <c:pt idx="92">
                  <c:v>42.400829234863167</c:v>
                </c:pt>
                <c:pt idx="93">
                  <c:v>43.375690501173914</c:v>
                </c:pt>
                <c:pt idx="94">
                  <c:v>44.230969091395302</c:v>
                </c:pt>
                <c:pt idx="95">
                  <c:v>43.939747900083503</c:v>
                </c:pt>
                <c:pt idx="96">
                  <c:v>43.250678752096874</c:v>
                </c:pt>
                <c:pt idx="97">
                  <c:v>42.77755826724259</c:v>
                </c:pt>
                <c:pt idx="98">
                  <c:v>41.897930896366354</c:v>
                </c:pt>
                <c:pt idx="99">
                  <c:v>42.309716031322878</c:v>
                </c:pt>
                <c:pt idx="100">
                  <c:v>42.060196391114133</c:v>
                </c:pt>
                <c:pt idx="101">
                  <c:v>39.977157083734348</c:v>
                </c:pt>
                <c:pt idx="102">
                  <c:v>39.26580438266496</c:v>
                </c:pt>
                <c:pt idx="103">
                  <c:v>38.502725601920517</c:v>
                </c:pt>
                <c:pt idx="104">
                  <c:v>36.506540896100617</c:v>
                </c:pt>
                <c:pt idx="105">
                  <c:v>33.982497895888208</c:v>
                </c:pt>
                <c:pt idx="106">
                  <c:v>34.972412909553483</c:v>
                </c:pt>
                <c:pt idx="107">
                  <c:v>32.339993598838831</c:v>
                </c:pt>
                <c:pt idx="108">
                  <c:v>29.866779533837139</c:v>
                </c:pt>
                <c:pt idx="109">
                  <c:v>28.016328027907743</c:v>
                </c:pt>
                <c:pt idx="110">
                  <c:v>25.903594112309179</c:v>
                </c:pt>
                <c:pt idx="111">
                  <c:v>22.208897516515425</c:v>
                </c:pt>
                <c:pt idx="112">
                  <c:v>19.927003059761606</c:v>
                </c:pt>
                <c:pt idx="113">
                  <c:v>18.685717317274953</c:v>
                </c:pt>
                <c:pt idx="114">
                  <c:v>16.196285769767215</c:v>
                </c:pt>
                <c:pt idx="115">
                  <c:v>14.85018898218058</c:v>
                </c:pt>
                <c:pt idx="116">
                  <c:v>13.527398480710694</c:v>
                </c:pt>
                <c:pt idx="117">
                  <c:v>12.210145080150102</c:v>
                </c:pt>
                <c:pt idx="118">
                  <c:v>8.8675119516638201</c:v>
                </c:pt>
                <c:pt idx="119">
                  <c:v>8.0564038565551499</c:v>
                </c:pt>
                <c:pt idx="120">
                  <c:v>6.6558159255954763</c:v>
                </c:pt>
                <c:pt idx="121">
                  <c:v>5.4691131203282506</c:v>
                </c:pt>
                <c:pt idx="122">
                  <c:v>3.8615617965260807</c:v>
                </c:pt>
                <c:pt idx="123">
                  <c:v>2.4037418881168726</c:v>
                </c:pt>
                <c:pt idx="124">
                  <c:v>0.57999736112670508</c:v>
                </c:pt>
                <c:pt idx="125">
                  <c:v>-0.79048387470228576</c:v>
                </c:pt>
                <c:pt idx="126">
                  <c:v>-1.0404558012999221</c:v>
                </c:pt>
                <c:pt idx="127">
                  <c:v>-1.9763664899861144</c:v>
                </c:pt>
                <c:pt idx="128">
                  <c:v>-2.4065916820804945</c:v>
                </c:pt>
                <c:pt idx="129">
                  <c:v>-2.9119100687679977</c:v>
                </c:pt>
                <c:pt idx="130">
                  <c:v>-3.1424956735472187</c:v>
                </c:pt>
                <c:pt idx="131">
                  <c:v>-1.8820875147660066</c:v>
                </c:pt>
                <c:pt idx="132">
                  <c:v>-1.4590172378216582</c:v>
                </c:pt>
                <c:pt idx="133">
                  <c:v>-0.71876126464460732</c:v>
                </c:pt>
                <c:pt idx="134">
                  <c:v>0.55297916376439993</c:v>
                </c:pt>
                <c:pt idx="135">
                  <c:v>2.0941422538172327</c:v>
                </c:pt>
                <c:pt idx="136">
                  <c:v>3.2897652607697614</c:v>
                </c:pt>
                <c:pt idx="137">
                  <c:v>4.7759726032853944</c:v>
                </c:pt>
                <c:pt idx="138">
                  <c:v>5.8948153077571064</c:v>
                </c:pt>
                <c:pt idx="139">
                  <c:v>7.1857638439028149</c:v>
                </c:pt>
                <c:pt idx="140">
                  <c:v>8.4432296878828019</c:v>
                </c:pt>
                <c:pt idx="141">
                  <c:v>10.236478645520307</c:v>
                </c:pt>
                <c:pt idx="142">
                  <c:v>11.243063492339411</c:v>
                </c:pt>
                <c:pt idx="143">
                  <c:v>11.593645620586557</c:v>
                </c:pt>
                <c:pt idx="144">
                  <c:v>13.010783045408569</c:v>
                </c:pt>
                <c:pt idx="145">
                  <c:v>13.770359545692369</c:v>
                </c:pt>
                <c:pt idx="146">
                  <c:v>14.904475919061122</c:v>
                </c:pt>
                <c:pt idx="147">
                  <c:v>16.090045846149682</c:v>
                </c:pt>
                <c:pt idx="148">
                  <c:v>17.80087277687452</c:v>
                </c:pt>
                <c:pt idx="149">
                  <c:v>19.783818301677634</c:v>
                </c:pt>
                <c:pt idx="150">
                  <c:v>20.989789249135193</c:v>
                </c:pt>
                <c:pt idx="151">
                  <c:v>21.422636582184772</c:v>
                </c:pt>
                <c:pt idx="152">
                  <c:v>22.041044682793331</c:v>
                </c:pt>
                <c:pt idx="153">
                  <c:v>21.613471324832712</c:v>
                </c:pt>
                <c:pt idx="154">
                  <c:v>21.50653308770789</c:v>
                </c:pt>
                <c:pt idx="155">
                  <c:v>21.469022350762778</c:v>
                </c:pt>
                <c:pt idx="156">
                  <c:v>21.251394830561953</c:v>
                </c:pt>
                <c:pt idx="157">
                  <c:v>21.108715516572229</c:v>
                </c:pt>
                <c:pt idx="158">
                  <c:v>21.066897932693895</c:v>
                </c:pt>
                <c:pt idx="159">
                  <c:v>21.187251293283893</c:v>
                </c:pt>
                <c:pt idx="160">
                  <c:v>20.473362513103165</c:v>
                </c:pt>
                <c:pt idx="161">
                  <c:v>18.744849727096803</c:v>
                </c:pt>
                <c:pt idx="162">
                  <c:v>17.84753353796571</c:v>
                </c:pt>
                <c:pt idx="163">
                  <c:v>17.416687987602096</c:v>
                </c:pt>
                <c:pt idx="164">
                  <c:v>16.742406993399108</c:v>
                </c:pt>
                <c:pt idx="165">
                  <c:v>15.887922024599209</c:v>
                </c:pt>
                <c:pt idx="166">
                  <c:v>15.485825098994699</c:v>
                </c:pt>
                <c:pt idx="167">
                  <c:v>15.050126227608928</c:v>
                </c:pt>
                <c:pt idx="168">
                  <c:v>14.461464891656828</c:v>
                </c:pt>
                <c:pt idx="169">
                  <c:v>14.362181057958455</c:v>
                </c:pt>
                <c:pt idx="170">
                  <c:v>13.560184130576246</c:v>
                </c:pt>
                <c:pt idx="171">
                  <c:v>12.532671464343004</c:v>
                </c:pt>
                <c:pt idx="172">
                  <c:v>12.015433221417027</c:v>
                </c:pt>
                <c:pt idx="173">
                  <c:v>11.267391737052401</c:v>
                </c:pt>
                <c:pt idx="174">
                  <c:v>10.488282805393645</c:v>
                </c:pt>
                <c:pt idx="175">
                  <c:v>10.336142751802413</c:v>
                </c:pt>
                <c:pt idx="176">
                  <c:v>9.9992890155993877</c:v>
                </c:pt>
                <c:pt idx="177">
                  <c:v>10.080450588619971</c:v>
                </c:pt>
                <c:pt idx="178">
                  <c:v>10.010975338607597</c:v>
                </c:pt>
                <c:pt idx="179">
                  <c:v>9.6265103914739072</c:v>
                </c:pt>
                <c:pt idx="180">
                  <c:v>9.3330833693835213</c:v>
                </c:pt>
                <c:pt idx="181">
                  <c:v>9.1076582348730728</c:v>
                </c:pt>
                <c:pt idx="182">
                  <c:v>8.8722943112413688</c:v>
                </c:pt>
                <c:pt idx="183">
                  <c:v>8.6864437705570285</c:v>
                </c:pt>
                <c:pt idx="184">
                  <c:v>8.5169197115615667</c:v>
                </c:pt>
                <c:pt idx="185">
                  <c:v>8.8504489952715417</c:v>
                </c:pt>
                <c:pt idx="186">
                  <c:v>8.9312812978036948</c:v>
                </c:pt>
                <c:pt idx="187">
                  <c:v>8.8037533714561569</c:v>
                </c:pt>
                <c:pt idx="188">
                  <c:v>8.7335433944400584</c:v>
                </c:pt>
                <c:pt idx="189">
                  <c:v>9.1715737104437256</c:v>
                </c:pt>
                <c:pt idx="190">
                  <c:v>9.212280812779694</c:v>
                </c:pt>
                <c:pt idx="191">
                  <c:v>9.6837050440780725</c:v>
                </c:pt>
                <c:pt idx="192">
                  <c:v>9.4409345351280862</c:v>
                </c:pt>
                <c:pt idx="193">
                  <c:v>9.1841086360341606</c:v>
                </c:pt>
                <c:pt idx="194">
                  <c:v>9.0123806600237231</c:v>
                </c:pt>
                <c:pt idx="195">
                  <c:v>9.442364930463242</c:v>
                </c:pt>
                <c:pt idx="196">
                  <c:v>9.2720667011811475</c:v>
                </c:pt>
                <c:pt idx="197">
                  <c:v>8.7430236199280476</c:v>
                </c:pt>
                <c:pt idx="198">
                  <c:v>9.641608259245583</c:v>
                </c:pt>
                <c:pt idx="199">
                  <c:v>9.144216762602797</c:v>
                </c:pt>
                <c:pt idx="200">
                  <c:v>8.7231465207555416</c:v>
                </c:pt>
                <c:pt idx="201">
                  <c:v>7.9511210297795731</c:v>
                </c:pt>
                <c:pt idx="202">
                  <c:v>7.348304415185658</c:v>
                </c:pt>
                <c:pt idx="203">
                  <c:v>6.436102624226181</c:v>
                </c:pt>
                <c:pt idx="204">
                  <c:v>6.3299591023002977</c:v>
                </c:pt>
                <c:pt idx="205">
                  <c:v>5.97210965085333</c:v>
                </c:pt>
                <c:pt idx="206">
                  <c:v>5.6906358171489702</c:v>
                </c:pt>
                <c:pt idx="207">
                  <c:v>4.891444753321017</c:v>
                </c:pt>
                <c:pt idx="208">
                  <c:v>5.2556247877137974</c:v>
                </c:pt>
                <c:pt idx="209">
                  <c:v>5.4334346824340463</c:v>
                </c:pt>
                <c:pt idx="210">
                  <c:v>5.098529681837638</c:v>
                </c:pt>
                <c:pt idx="211">
                  <c:v>5.1685033659365276</c:v>
                </c:pt>
                <c:pt idx="212">
                  <c:v>5.6289004904712225</c:v>
                </c:pt>
                <c:pt idx="213">
                  <c:v>5.9233279350275447</c:v>
                </c:pt>
                <c:pt idx="214">
                  <c:v>6.4159093375863119</c:v>
                </c:pt>
                <c:pt idx="215">
                  <c:v>7.203161418672388</c:v>
                </c:pt>
                <c:pt idx="216">
                  <c:v>7.6532090223352833</c:v>
                </c:pt>
                <c:pt idx="217">
                  <c:v>7.8238620334108111</c:v>
                </c:pt>
                <c:pt idx="218">
                  <c:v>7.8285040577631637</c:v>
                </c:pt>
                <c:pt idx="219">
                  <c:v>8.1222977280273732</c:v>
                </c:pt>
                <c:pt idx="220">
                  <c:v>7.1526080087643606</c:v>
                </c:pt>
                <c:pt idx="221">
                  <c:v>7.274424234062038</c:v>
                </c:pt>
                <c:pt idx="222">
                  <c:v>6.8181203290792025</c:v>
                </c:pt>
                <c:pt idx="223">
                  <c:v>6.9495787005272591</c:v>
                </c:pt>
                <c:pt idx="224">
                  <c:v>6.4107559107615009</c:v>
                </c:pt>
                <c:pt idx="225">
                  <c:v>6.1876038023771063</c:v>
                </c:pt>
                <c:pt idx="226">
                  <c:v>5.8422474160784832</c:v>
                </c:pt>
                <c:pt idx="227">
                  <c:v>5.4558564909514828</c:v>
                </c:pt>
                <c:pt idx="228">
                  <c:v>4.4573932020710361</c:v>
                </c:pt>
                <c:pt idx="229">
                  <c:v>4.5102757520270487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D22-41B5-9E9E-69E2CA05C8A7}"/>
            </c:ext>
          </c:extLst>
        </c:ser>
        <c:ser>
          <c:idx val="2"/>
          <c:order val="2"/>
          <c:tx>
            <c:strRef>
              <c:f>'G2.2'!$M$4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4A-40B2-B971-EE320ECBCA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F7F7F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'G2.2'!$M$5:$M$234</c:f>
              <c:numCache>
                <c:formatCode>0.0</c:formatCode>
                <c:ptCount val="230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-6.1706565975343182</c:v>
                </c:pt>
                <c:pt idx="13">
                  <c:v>-9.4036375097870994</c:v>
                </c:pt>
                <c:pt idx="14">
                  <c:v>-14.530999101204401</c:v>
                </c:pt>
                <c:pt idx="15">
                  <c:v>-17.520498325264743</c:v>
                </c:pt>
                <c:pt idx="16">
                  <c:v>-16.905794740345037</c:v>
                </c:pt>
                <c:pt idx="17">
                  <c:v>-17.112593412388367</c:v>
                </c:pt>
                <c:pt idx="18">
                  <c:v>-17.527480609484481</c:v>
                </c:pt>
                <c:pt idx="19">
                  <c:v>-17.652769048611503</c:v>
                </c:pt>
                <c:pt idx="20">
                  <c:v>-22.816478722774558</c:v>
                </c:pt>
                <c:pt idx="21">
                  <c:v>-23.342356455923575</c:v>
                </c:pt>
                <c:pt idx="22">
                  <c:v>-24.194166368476587</c:v>
                </c:pt>
                <c:pt idx="23">
                  <c:v>-25.215662568692011</c:v>
                </c:pt>
                <c:pt idx="24">
                  <c:v>-26.263357381803452</c:v>
                </c:pt>
                <c:pt idx="25">
                  <c:v>-23.320053491295699</c:v>
                </c:pt>
                <c:pt idx="26">
                  <c:v>-19.568523661178862</c:v>
                </c:pt>
                <c:pt idx="27">
                  <c:v>-16.825363213208455</c:v>
                </c:pt>
                <c:pt idx="28">
                  <c:v>-17.815945841872573</c:v>
                </c:pt>
                <c:pt idx="29">
                  <c:v>-16.932625551192928</c:v>
                </c:pt>
                <c:pt idx="30">
                  <c:v>-16.496293339355027</c:v>
                </c:pt>
                <c:pt idx="31">
                  <c:v>-15.956194549548719</c:v>
                </c:pt>
                <c:pt idx="32">
                  <c:v>-10.460447699607334</c:v>
                </c:pt>
                <c:pt idx="33">
                  <c:v>-11.393611074848186</c:v>
                </c:pt>
                <c:pt idx="34">
                  <c:v>-9.6201288213165306</c:v>
                </c:pt>
                <c:pt idx="35">
                  <c:v>-9.5038811225694459</c:v>
                </c:pt>
                <c:pt idx="36">
                  <c:v>-9.2314218089697757</c:v>
                </c:pt>
                <c:pt idx="37">
                  <c:v>-10.38390065221636</c:v>
                </c:pt>
                <c:pt idx="38">
                  <c:v>-10.127319506458488</c:v>
                </c:pt>
                <c:pt idx="39">
                  <c:v>-10.158572715216874</c:v>
                </c:pt>
                <c:pt idx="40">
                  <c:v>-9.5691619037776796</c:v>
                </c:pt>
                <c:pt idx="41">
                  <c:v>-8.9751084064347069</c:v>
                </c:pt>
                <c:pt idx="42">
                  <c:v>-9.3033978049382409</c:v>
                </c:pt>
                <c:pt idx="43">
                  <c:v>-9.6837610877840046</c:v>
                </c:pt>
                <c:pt idx="44">
                  <c:v>-9.6189880304428321</c:v>
                </c:pt>
                <c:pt idx="45">
                  <c:v>-9.6542517210566832</c:v>
                </c:pt>
                <c:pt idx="46">
                  <c:v>-9.6873012021471574</c:v>
                </c:pt>
                <c:pt idx="47">
                  <c:v>-9.8761424728973211</c:v>
                </c:pt>
                <c:pt idx="48">
                  <c:v>-8.6895729637632702</c:v>
                </c:pt>
                <c:pt idx="49">
                  <c:v>-7.7956108348569808</c:v>
                </c:pt>
                <c:pt idx="50">
                  <c:v>-8.0843350149575226</c:v>
                </c:pt>
                <c:pt idx="51">
                  <c:v>-7.9839929194321151</c:v>
                </c:pt>
                <c:pt idx="52">
                  <c:v>-7.830739665383879</c:v>
                </c:pt>
                <c:pt idx="53">
                  <c:v>-9.4999784795691706</c:v>
                </c:pt>
                <c:pt idx="54">
                  <c:v>-9.7707001133827802</c:v>
                </c:pt>
                <c:pt idx="55">
                  <c:v>-9.8162794244012872</c:v>
                </c:pt>
                <c:pt idx="56">
                  <c:v>-9.5440375600683183</c:v>
                </c:pt>
                <c:pt idx="57">
                  <c:v>-9.7657100372090415</c:v>
                </c:pt>
                <c:pt idx="58">
                  <c:v>-9.2815500961661144</c:v>
                </c:pt>
                <c:pt idx="59">
                  <c:v>-9.352235873430903</c:v>
                </c:pt>
                <c:pt idx="60">
                  <c:v>-11.788402030150847</c:v>
                </c:pt>
                <c:pt idx="61">
                  <c:v>-11.188082861979131</c:v>
                </c:pt>
                <c:pt idx="62">
                  <c:v>-10.82467848224027</c:v>
                </c:pt>
                <c:pt idx="63">
                  <c:v>-11.175035675270916</c:v>
                </c:pt>
                <c:pt idx="64">
                  <c:v>-10.892407513572454</c:v>
                </c:pt>
                <c:pt idx="65">
                  <c:v>-11.85211951343128</c:v>
                </c:pt>
                <c:pt idx="66">
                  <c:v>-10.987054054090429</c:v>
                </c:pt>
                <c:pt idx="67">
                  <c:v>-10.758128534811828</c:v>
                </c:pt>
                <c:pt idx="68">
                  <c:v>-8.179244367976036</c:v>
                </c:pt>
                <c:pt idx="69">
                  <c:v>-9.8372464673609485</c:v>
                </c:pt>
                <c:pt idx="70">
                  <c:v>-10.144686956351235</c:v>
                </c:pt>
                <c:pt idx="71">
                  <c:v>-10.927106468716696</c:v>
                </c:pt>
                <c:pt idx="72">
                  <c:v>-12.285190036496763</c:v>
                </c:pt>
                <c:pt idx="73">
                  <c:v>-12.054618328643961</c:v>
                </c:pt>
                <c:pt idx="74">
                  <c:v>-11.837177600527426</c:v>
                </c:pt>
                <c:pt idx="75">
                  <c:v>-12.312158825595354</c:v>
                </c:pt>
                <c:pt idx="76">
                  <c:v>-12.10524547924795</c:v>
                </c:pt>
                <c:pt idx="77">
                  <c:v>-11.081791902017757</c:v>
                </c:pt>
                <c:pt idx="78">
                  <c:v>-11.588470987081301</c:v>
                </c:pt>
                <c:pt idx="79">
                  <c:v>-11.368503326083967</c:v>
                </c:pt>
                <c:pt idx="80">
                  <c:v>-13.798950996751236</c:v>
                </c:pt>
                <c:pt idx="81">
                  <c:v>-12.105894355383761</c:v>
                </c:pt>
                <c:pt idx="82">
                  <c:v>-11.81448450470678</c:v>
                </c:pt>
                <c:pt idx="83">
                  <c:v>-10.602878641658176</c:v>
                </c:pt>
                <c:pt idx="84">
                  <c:v>-7.2684226731151718</c:v>
                </c:pt>
                <c:pt idx="85">
                  <c:v>-7.3930932670018379</c:v>
                </c:pt>
                <c:pt idx="86">
                  <c:v>-6.9592648931596663</c:v>
                </c:pt>
                <c:pt idx="87">
                  <c:v>-5.799765424501901</c:v>
                </c:pt>
                <c:pt idx="88">
                  <c:v>-5.6469794072052881</c:v>
                </c:pt>
                <c:pt idx="89">
                  <c:v>-4.7921710442967225</c:v>
                </c:pt>
                <c:pt idx="90">
                  <c:v>-4.007906277367268</c:v>
                </c:pt>
                <c:pt idx="91">
                  <c:v>-3.1137976894863528</c:v>
                </c:pt>
                <c:pt idx="92">
                  <c:v>-1.4127350571037312</c:v>
                </c:pt>
                <c:pt idx="93">
                  <c:v>1.2895373180674241</c:v>
                </c:pt>
                <c:pt idx="94">
                  <c:v>3.7449729108981256</c:v>
                </c:pt>
                <c:pt idx="95">
                  <c:v>4.9965660313013194</c:v>
                </c:pt>
                <c:pt idx="96">
                  <c:v>6.5842768164900978</c:v>
                </c:pt>
                <c:pt idx="97">
                  <c:v>8.4971425752921483</c:v>
                </c:pt>
                <c:pt idx="98">
                  <c:v>9.955558333492597</c:v>
                </c:pt>
                <c:pt idx="99">
                  <c:v>11.766920977098859</c:v>
                </c:pt>
                <c:pt idx="100">
                  <c:v>12.911163732698338</c:v>
                </c:pt>
                <c:pt idx="101">
                  <c:v>14.884548354835214</c:v>
                </c:pt>
                <c:pt idx="102">
                  <c:v>16.439799590080838</c:v>
                </c:pt>
                <c:pt idx="103">
                  <c:v>16.756007358558666</c:v>
                </c:pt>
                <c:pt idx="104">
                  <c:v>16.236470217305452</c:v>
                </c:pt>
                <c:pt idx="105">
                  <c:v>15.829763064543068</c:v>
                </c:pt>
                <c:pt idx="106">
                  <c:v>17.515893390503166</c:v>
                </c:pt>
                <c:pt idx="107">
                  <c:v>17.827940349124805</c:v>
                </c:pt>
                <c:pt idx="108">
                  <c:v>17.317841077250318</c:v>
                </c:pt>
                <c:pt idx="109">
                  <c:v>16.347619043179652</c:v>
                </c:pt>
                <c:pt idx="110">
                  <c:v>16.401044993485357</c:v>
                </c:pt>
                <c:pt idx="111">
                  <c:v>15.340851180865855</c:v>
                </c:pt>
                <c:pt idx="112">
                  <c:v>15.656551320505695</c:v>
                </c:pt>
                <c:pt idx="113">
                  <c:v>14.672314225982896</c:v>
                </c:pt>
                <c:pt idx="114">
                  <c:v>14.287511115939688</c:v>
                </c:pt>
                <c:pt idx="115">
                  <c:v>14.867877373007964</c:v>
                </c:pt>
                <c:pt idx="116">
                  <c:v>15.124531105296924</c:v>
                </c:pt>
                <c:pt idx="117">
                  <c:v>14.695539403895651</c:v>
                </c:pt>
                <c:pt idx="118">
                  <c:v>11.860413891994215</c:v>
                </c:pt>
                <c:pt idx="119">
                  <c:v>11.563043577757682</c:v>
                </c:pt>
                <c:pt idx="120">
                  <c:v>11.108726038959361</c:v>
                </c:pt>
                <c:pt idx="121">
                  <c:v>11.083856897525223</c:v>
                </c:pt>
                <c:pt idx="122">
                  <c:v>10.179793712957608</c:v>
                </c:pt>
                <c:pt idx="123">
                  <c:v>9.8725145996151564</c:v>
                </c:pt>
                <c:pt idx="124">
                  <c:v>9.274735009988655</c:v>
                </c:pt>
                <c:pt idx="125">
                  <c:v>8.8329264771031433</c:v>
                </c:pt>
                <c:pt idx="126">
                  <c:v>7.9002796608724335</c:v>
                </c:pt>
                <c:pt idx="127">
                  <c:v>7.5129366142874021</c:v>
                </c:pt>
                <c:pt idx="128">
                  <c:v>7.4135951230465791</c:v>
                </c:pt>
                <c:pt idx="129">
                  <c:v>7.8879628826342252</c:v>
                </c:pt>
                <c:pt idx="130">
                  <c:v>8.6099166498922806</c:v>
                </c:pt>
                <c:pt idx="131">
                  <c:v>9.151131381634503</c:v>
                </c:pt>
                <c:pt idx="132">
                  <c:v>9.864232616721802</c:v>
                </c:pt>
                <c:pt idx="133">
                  <c:v>9.9374296105213098</c:v>
                </c:pt>
                <c:pt idx="134">
                  <c:v>10.633809099326207</c:v>
                </c:pt>
                <c:pt idx="135">
                  <c:v>12.057945429173177</c:v>
                </c:pt>
                <c:pt idx="136">
                  <c:v>11.956606090188249</c:v>
                </c:pt>
                <c:pt idx="137">
                  <c:v>12.454463015270578</c:v>
                </c:pt>
                <c:pt idx="138">
                  <c:v>13.319933745599277</c:v>
                </c:pt>
                <c:pt idx="139">
                  <c:v>13.748042190875953</c:v>
                </c:pt>
                <c:pt idx="140">
                  <c:v>14.063259974636644</c:v>
                </c:pt>
                <c:pt idx="141">
                  <c:v>14.154377327740475</c:v>
                </c:pt>
                <c:pt idx="142">
                  <c:v>13.890300808889711</c:v>
                </c:pt>
                <c:pt idx="143">
                  <c:v>13.784946927222009</c:v>
                </c:pt>
                <c:pt idx="144">
                  <c:v>13.863225488027053</c:v>
                </c:pt>
                <c:pt idx="145">
                  <c:v>13.981665146187261</c:v>
                </c:pt>
                <c:pt idx="146">
                  <c:v>14.120069537141866</c:v>
                </c:pt>
                <c:pt idx="147">
                  <c:v>13.837793334019022</c:v>
                </c:pt>
                <c:pt idx="148">
                  <c:v>14.425283594527571</c:v>
                </c:pt>
                <c:pt idx="149">
                  <c:v>14.752962667797377</c:v>
                </c:pt>
                <c:pt idx="150">
                  <c:v>14.999090347300958</c:v>
                </c:pt>
                <c:pt idx="151">
                  <c:v>14.927166316151631</c:v>
                </c:pt>
                <c:pt idx="152">
                  <c:v>15.522666015611119</c:v>
                </c:pt>
                <c:pt idx="153">
                  <c:v>15.297026394319513</c:v>
                </c:pt>
                <c:pt idx="154">
                  <c:v>15.437938265796403</c:v>
                </c:pt>
                <c:pt idx="155">
                  <c:v>15.760489036238766</c:v>
                </c:pt>
                <c:pt idx="156">
                  <c:v>15.828837063308843</c:v>
                </c:pt>
                <c:pt idx="157">
                  <c:v>16.005120269762486</c:v>
                </c:pt>
                <c:pt idx="158">
                  <c:v>15.854756610105515</c:v>
                </c:pt>
                <c:pt idx="159">
                  <c:v>15.986892776942829</c:v>
                </c:pt>
                <c:pt idx="160">
                  <c:v>15.931048362413168</c:v>
                </c:pt>
                <c:pt idx="161">
                  <c:v>15.483183619962016</c:v>
                </c:pt>
                <c:pt idx="162">
                  <c:v>15.161783912957594</c:v>
                </c:pt>
                <c:pt idx="163">
                  <c:v>12.00902012770908</c:v>
                </c:pt>
                <c:pt idx="164">
                  <c:v>11.873508766321006</c:v>
                </c:pt>
                <c:pt idx="165">
                  <c:v>11.671797320714749</c:v>
                </c:pt>
                <c:pt idx="166">
                  <c:v>11.410491672584877</c:v>
                </c:pt>
                <c:pt idx="167">
                  <c:v>11.48160313545128</c:v>
                </c:pt>
                <c:pt idx="168">
                  <c:v>11.660528444073215</c:v>
                </c:pt>
                <c:pt idx="169">
                  <c:v>11.731972169391724</c:v>
                </c:pt>
                <c:pt idx="170">
                  <c:v>11.575332166130249</c:v>
                </c:pt>
                <c:pt idx="171">
                  <c:v>11.103325532940156</c:v>
                </c:pt>
                <c:pt idx="172">
                  <c:v>11.077110238631738</c:v>
                </c:pt>
                <c:pt idx="173">
                  <c:v>11.213361193069527</c:v>
                </c:pt>
                <c:pt idx="174">
                  <c:v>11.20094179906439</c:v>
                </c:pt>
                <c:pt idx="175">
                  <c:v>14.898923582405477</c:v>
                </c:pt>
                <c:pt idx="176">
                  <c:v>14.632370634414116</c:v>
                </c:pt>
                <c:pt idx="177">
                  <c:v>15.067339249008761</c:v>
                </c:pt>
                <c:pt idx="178">
                  <c:v>16.089968231267871</c:v>
                </c:pt>
                <c:pt idx="179">
                  <c:v>16.671333162833069</c:v>
                </c:pt>
                <c:pt idx="180">
                  <c:v>16.696693698995666</c:v>
                </c:pt>
                <c:pt idx="181">
                  <c:v>16.96337918738795</c:v>
                </c:pt>
                <c:pt idx="182">
                  <c:v>17.4378497298326</c:v>
                </c:pt>
                <c:pt idx="183">
                  <c:v>17.534135331541222</c:v>
                </c:pt>
                <c:pt idx="184">
                  <c:v>17.558516579476336</c:v>
                </c:pt>
                <c:pt idx="185">
                  <c:v>18.169070688036015</c:v>
                </c:pt>
                <c:pt idx="186">
                  <c:v>18.152279175428898</c:v>
                </c:pt>
                <c:pt idx="187">
                  <c:v>17.436132411909867</c:v>
                </c:pt>
                <c:pt idx="188">
                  <c:v>17.146171189267491</c:v>
                </c:pt>
                <c:pt idx="189">
                  <c:v>16.809694345290936</c:v>
                </c:pt>
                <c:pt idx="190">
                  <c:v>15.87743433408686</c:v>
                </c:pt>
                <c:pt idx="191">
                  <c:v>14.799995030870438</c:v>
                </c:pt>
                <c:pt idx="192">
                  <c:v>14.182795063438158</c:v>
                </c:pt>
                <c:pt idx="193">
                  <c:v>13.563326495856941</c:v>
                </c:pt>
                <c:pt idx="194">
                  <c:v>12.757690520565546</c:v>
                </c:pt>
                <c:pt idx="195">
                  <c:v>12.490878389932526</c:v>
                </c:pt>
                <c:pt idx="196">
                  <c:v>12.209019646802988</c:v>
                </c:pt>
                <c:pt idx="197">
                  <c:v>10.997848263618382</c:v>
                </c:pt>
                <c:pt idx="198">
                  <c:v>10.768357763883852</c:v>
                </c:pt>
                <c:pt idx="199">
                  <c:v>10.52775733317608</c:v>
                </c:pt>
                <c:pt idx="200">
                  <c:v>10.180907276444184</c:v>
                </c:pt>
                <c:pt idx="201">
                  <c:v>9.983364846029863</c:v>
                </c:pt>
                <c:pt idx="202">
                  <c:v>9.6558917197644654</c:v>
                </c:pt>
                <c:pt idx="203">
                  <c:v>9.6575313155245155</c:v>
                </c:pt>
                <c:pt idx="204">
                  <c:v>9.6891114628053785</c:v>
                </c:pt>
                <c:pt idx="205">
                  <c:v>9.3023716417476301</c:v>
                </c:pt>
                <c:pt idx="206">
                  <c:v>7.5895562627471325</c:v>
                </c:pt>
                <c:pt idx="207">
                  <c:v>7.2318648989189382</c:v>
                </c:pt>
                <c:pt idx="208">
                  <c:v>7.4706458578198465</c:v>
                </c:pt>
                <c:pt idx="209">
                  <c:v>7.8684125266225813</c:v>
                </c:pt>
                <c:pt idx="210">
                  <c:v>7.5953021927961606</c:v>
                </c:pt>
                <c:pt idx="211">
                  <c:v>7.3561299978665007</c:v>
                </c:pt>
                <c:pt idx="212">
                  <c:v>7.4554381625380861</c:v>
                </c:pt>
                <c:pt idx="213">
                  <c:v>7.1425235655987684</c:v>
                </c:pt>
                <c:pt idx="214">
                  <c:v>7.0767496096995952</c:v>
                </c:pt>
                <c:pt idx="215">
                  <c:v>6.4217712375269409</c:v>
                </c:pt>
                <c:pt idx="216">
                  <c:v>7.2953075464468942</c:v>
                </c:pt>
                <c:pt idx="217">
                  <c:v>6.7715106136430281</c:v>
                </c:pt>
                <c:pt idx="218">
                  <c:v>8.3603422725759593</c:v>
                </c:pt>
                <c:pt idx="219">
                  <c:v>8.4532879182501972</c:v>
                </c:pt>
                <c:pt idx="220">
                  <c:v>7.4704560299548417</c:v>
                </c:pt>
                <c:pt idx="221">
                  <c:v>6.9238121261967489</c:v>
                </c:pt>
                <c:pt idx="222">
                  <c:v>7.1551645693287647</c:v>
                </c:pt>
                <c:pt idx="223">
                  <c:v>7.1906643928437264</c:v>
                </c:pt>
                <c:pt idx="224">
                  <c:v>6.8878980619956565</c:v>
                </c:pt>
                <c:pt idx="225">
                  <c:v>6.9817273818617798</c:v>
                </c:pt>
                <c:pt idx="226">
                  <c:v>6.6063405664043007</c:v>
                </c:pt>
                <c:pt idx="227">
                  <c:v>6.833031271789336</c:v>
                </c:pt>
                <c:pt idx="228">
                  <c:v>6.4583419591319524</c:v>
                </c:pt>
                <c:pt idx="229">
                  <c:v>6.7042157706838745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D22-41B5-9E9E-69E2CA05C8A7}"/>
            </c:ext>
          </c:extLst>
        </c:ser>
        <c:ser>
          <c:idx val="3"/>
          <c:order val="3"/>
          <c:tx>
            <c:strRef>
              <c:f>'G2.2'!$N$4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B4A-40B2-B971-EE320ECBCA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E8A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'G2.2'!$N$5:$N$234</c:f>
              <c:numCache>
                <c:formatCode>0.0</c:formatCode>
                <c:ptCount val="230"/>
                <c:pt idx="49">
                  <c:v>261.54970360992172</c:v>
                </c:pt>
                <c:pt idx="50">
                  <c:v>271.12677004990718</c:v>
                </c:pt>
                <c:pt idx="51">
                  <c:v>197.99708672665795</c:v>
                </c:pt>
                <c:pt idx="52">
                  <c:v>175.38332367214156</c:v>
                </c:pt>
                <c:pt idx="53">
                  <c:v>183.91849339295092</c:v>
                </c:pt>
                <c:pt idx="54">
                  <c:v>197.15886454046432</c:v>
                </c:pt>
                <c:pt idx="55">
                  <c:v>217.41529655127465</c:v>
                </c:pt>
                <c:pt idx="56">
                  <c:v>40.235452854654085</c:v>
                </c:pt>
                <c:pt idx="57">
                  <c:v>45.252876041955226</c:v>
                </c:pt>
                <c:pt idx="58">
                  <c:v>43.744447690638786</c:v>
                </c:pt>
                <c:pt idx="59">
                  <c:v>46.963406694504428</c:v>
                </c:pt>
                <c:pt idx="60">
                  <c:v>36.519868456433223</c:v>
                </c:pt>
                <c:pt idx="61">
                  <c:v>34.186225589738541</c:v>
                </c:pt>
                <c:pt idx="62">
                  <c:v>35.670903906905991</c:v>
                </c:pt>
                <c:pt idx="63">
                  <c:v>33.920064717794737</c:v>
                </c:pt>
                <c:pt idx="64">
                  <c:v>42.304801443439779</c:v>
                </c:pt>
                <c:pt idx="65">
                  <c:v>37.651184211943175</c:v>
                </c:pt>
                <c:pt idx="66">
                  <c:v>36.101977637547414</c:v>
                </c:pt>
                <c:pt idx="67">
                  <c:v>30.71151254641833</c:v>
                </c:pt>
                <c:pt idx="68">
                  <c:v>31.284315381969698</c:v>
                </c:pt>
                <c:pt idx="69">
                  <c:v>29.452348883369627</c:v>
                </c:pt>
                <c:pt idx="70">
                  <c:v>30.533295995058964</c:v>
                </c:pt>
                <c:pt idx="71">
                  <c:v>39.159516404376738</c:v>
                </c:pt>
                <c:pt idx="72">
                  <c:v>40.354630518497522</c:v>
                </c:pt>
                <c:pt idx="73">
                  <c:v>43.104459954882437</c:v>
                </c:pt>
                <c:pt idx="74">
                  <c:v>45.236253837641897</c:v>
                </c:pt>
                <c:pt idx="75">
                  <c:v>49.670093287849745</c:v>
                </c:pt>
                <c:pt idx="76">
                  <c:v>56.741569166781389</c:v>
                </c:pt>
                <c:pt idx="77">
                  <c:v>62.162215929528216</c:v>
                </c:pt>
                <c:pt idx="78">
                  <c:v>64.55221227145536</c:v>
                </c:pt>
                <c:pt idx="79">
                  <c:v>64.241143098203651</c:v>
                </c:pt>
                <c:pt idx="80">
                  <c:v>62.910429986077652</c:v>
                </c:pt>
                <c:pt idx="81">
                  <c:v>60.111527511166017</c:v>
                </c:pt>
                <c:pt idx="82">
                  <c:v>52.429316092583477</c:v>
                </c:pt>
                <c:pt idx="83">
                  <c:v>44.945498736813548</c:v>
                </c:pt>
                <c:pt idx="84">
                  <c:v>43.020287901065672</c:v>
                </c:pt>
                <c:pt idx="85">
                  <c:v>39.877141158229357</c:v>
                </c:pt>
                <c:pt idx="86">
                  <c:v>37.559907845563224</c:v>
                </c:pt>
                <c:pt idx="87">
                  <c:v>37.376494944297669</c:v>
                </c:pt>
                <c:pt idx="88">
                  <c:v>36.841379156236172</c:v>
                </c:pt>
                <c:pt idx="89">
                  <c:v>30.767704312789256</c:v>
                </c:pt>
                <c:pt idx="90">
                  <c:v>31.376252830375595</c:v>
                </c:pt>
                <c:pt idx="91">
                  <c:v>32.127064436511901</c:v>
                </c:pt>
                <c:pt idx="92">
                  <c:v>31.233124144226544</c:v>
                </c:pt>
                <c:pt idx="93">
                  <c:v>30.700705113689786</c:v>
                </c:pt>
                <c:pt idx="94">
                  <c:v>34.277301309098718</c:v>
                </c:pt>
                <c:pt idx="95">
                  <c:v>29.201904685433377</c:v>
                </c:pt>
                <c:pt idx="96">
                  <c:v>28.922018997866282</c:v>
                </c:pt>
                <c:pt idx="97">
                  <c:v>29.494822671098685</c:v>
                </c:pt>
                <c:pt idx="98">
                  <c:v>26.824286655612937</c:v>
                </c:pt>
                <c:pt idx="99">
                  <c:v>26.472108653161229</c:v>
                </c:pt>
                <c:pt idx="100">
                  <c:v>24.237649488632119</c:v>
                </c:pt>
                <c:pt idx="101">
                  <c:v>26.268007220912605</c:v>
                </c:pt>
                <c:pt idx="102">
                  <c:v>21.853845312747588</c:v>
                </c:pt>
                <c:pt idx="103">
                  <c:v>18.399725016359692</c:v>
                </c:pt>
                <c:pt idx="104">
                  <c:v>15.844919360081722</c:v>
                </c:pt>
                <c:pt idx="105">
                  <c:v>14.895067201449619</c:v>
                </c:pt>
                <c:pt idx="106">
                  <c:v>13.733638520023073</c:v>
                </c:pt>
                <c:pt idx="107">
                  <c:v>13.440278954948903</c:v>
                </c:pt>
                <c:pt idx="108">
                  <c:v>12.515934195320689</c:v>
                </c:pt>
                <c:pt idx="109">
                  <c:v>10.23173973922642</c:v>
                </c:pt>
                <c:pt idx="110">
                  <c:v>10.369060870230506</c:v>
                </c:pt>
                <c:pt idx="111">
                  <c:v>7.5359212925196539</c:v>
                </c:pt>
                <c:pt idx="112">
                  <c:v>8.9434818829022831</c:v>
                </c:pt>
                <c:pt idx="113">
                  <c:v>10.896607002795866</c:v>
                </c:pt>
                <c:pt idx="114">
                  <c:v>14.866492450426749</c:v>
                </c:pt>
                <c:pt idx="115">
                  <c:v>16.952964352808753</c:v>
                </c:pt>
                <c:pt idx="116">
                  <c:v>19.221301079304041</c:v>
                </c:pt>
                <c:pt idx="117">
                  <c:v>20.076101192761818</c:v>
                </c:pt>
                <c:pt idx="118">
                  <c:v>19.592969033223341</c:v>
                </c:pt>
                <c:pt idx="119">
                  <c:v>35.417729031949129</c:v>
                </c:pt>
                <c:pt idx="120">
                  <c:v>48.285231199296085</c:v>
                </c:pt>
                <c:pt idx="121">
                  <c:v>51.008865765994486</c:v>
                </c:pt>
                <c:pt idx="122">
                  <c:v>53.20997697156411</c:v>
                </c:pt>
                <c:pt idx="123">
                  <c:v>55.973741443627098</c:v>
                </c:pt>
                <c:pt idx="124">
                  <c:v>55.707770395048037</c:v>
                </c:pt>
                <c:pt idx="125">
                  <c:v>55.51840950482709</c:v>
                </c:pt>
                <c:pt idx="126">
                  <c:v>52.099120842457737</c:v>
                </c:pt>
                <c:pt idx="127">
                  <c:v>51.431893635213434</c:v>
                </c:pt>
                <c:pt idx="128">
                  <c:v>51.000505162985888</c:v>
                </c:pt>
                <c:pt idx="129">
                  <c:v>49.803096496183485</c:v>
                </c:pt>
                <c:pt idx="130">
                  <c:v>50.759294200267348</c:v>
                </c:pt>
                <c:pt idx="131">
                  <c:v>32.457429228706538</c:v>
                </c:pt>
                <c:pt idx="132">
                  <c:v>20.92214033612656</c:v>
                </c:pt>
                <c:pt idx="133">
                  <c:v>19.006652317391492</c:v>
                </c:pt>
                <c:pt idx="134">
                  <c:v>16.840299173622732</c:v>
                </c:pt>
                <c:pt idx="135">
                  <c:v>14.410706404341278</c:v>
                </c:pt>
                <c:pt idx="136">
                  <c:v>12.215324324058784</c:v>
                </c:pt>
                <c:pt idx="137">
                  <c:v>10.137751072605372</c:v>
                </c:pt>
                <c:pt idx="138">
                  <c:v>9.0215622611575785</c:v>
                </c:pt>
                <c:pt idx="139">
                  <c:v>7.6443300928985547</c:v>
                </c:pt>
                <c:pt idx="140">
                  <c:v>7.3887412464528346</c:v>
                </c:pt>
                <c:pt idx="141">
                  <c:v>7.1337865252310895</c:v>
                </c:pt>
                <c:pt idx="142">
                  <c:v>7.2835206313262013</c:v>
                </c:pt>
                <c:pt idx="143">
                  <c:v>8.3413528097147314</c:v>
                </c:pt>
                <c:pt idx="144">
                  <c:v>9.0409802282520602</c:v>
                </c:pt>
                <c:pt idx="145">
                  <c:v>9.4870444656874895</c:v>
                </c:pt>
                <c:pt idx="146">
                  <c:v>24.05871032947222</c:v>
                </c:pt>
                <c:pt idx="147">
                  <c:v>26.354018233496589</c:v>
                </c:pt>
                <c:pt idx="148">
                  <c:v>27.838237196894443</c:v>
                </c:pt>
                <c:pt idx="149">
                  <c:v>29.719241600019309</c:v>
                </c:pt>
                <c:pt idx="150">
                  <c:v>30.807478101844854</c:v>
                </c:pt>
                <c:pt idx="151">
                  <c:v>32.125598137689003</c:v>
                </c:pt>
                <c:pt idx="152">
                  <c:v>32.971682474038609</c:v>
                </c:pt>
                <c:pt idx="153">
                  <c:v>33.559225182436371</c:v>
                </c:pt>
                <c:pt idx="154">
                  <c:v>34.050743019423301</c:v>
                </c:pt>
                <c:pt idx="155">
                  <c:v>34.322996174578854</c:v>
                </c:pt>
                <c:pt idx="156">
                  <c:v>34.113208266437958</c:v>
                </c:pt>
                <c:pt idx="157">
                  <c:v>34.741479044882809</c:v>
                </c:pt>
                <c:pt idx="158">
                  <c:v>19.662592020514037</c:v>
                </c:pt>
                <c:pt idx="159">
                  <c:v>19.479279219279878</c:v>
                </c:pt>
                <c:pt idx="160">
                  <c:v>18.487064223369188</c:v>
                </c:pt>
                <c:pt idx="161">
                  <c:v>17.847609382860075</c:v>
                </c:pt>
                <c:pt idx="162">
                  <c:v>17.857420264950985</c:v>
                </c:pt>
                <c:pt idx="163">
                  <c:v>18.028661230558818</c:v>
                </c:pt>
                <c:pt idx="164">
                  <c:v>17.755726323388643</c:v>
                </c:pt>
                <c:pt idx="165">
                  <c:v>17.412288957108135</c:v>
                </c:pt>
                <c:pt idx="166">
                  <c:v>16.959542870624421</c:v>
                </c:pt>
                <c:pt idx="167">
                  <c:v>16.71138150406226</c:v>
                </c:pt>
                <c:pt idx="168">
                  <c:v>16.915244202965283</c:v>
                </c:pt>
                <c:pt idx="169">
                  <c:v>17.05672273722303</c:v>
                </c:pt>
                <c:pt idx="170">
                  <c:v>17.094219825597335</c:v>
                </c:pt>
                <c:pt idx="171">
                  <c:v>16.561147613960369</c:v>
                </c:pt>
                <c:pt idx="172">
                  <c:v>17.640397920950001</c:v>
                </c:pt>
                <c:pt idx="173">
                  <c:v>17.99829704894773</c:v>
                </c:pt>
                <c:pt idx="174">
                  <c:v>17.357759518693538</c:v>
                </c:pt>
                <c:pt idx="175">
                  <c:v>17.53612527929014</c:v>
                </c:pt>
                <c:pt idx="176">
                  <c:v>16.774378308523019</c:v>
                </c:pt>
                <c:pt idx="177">
                  <c:v>16.451493331816103</c:v>
                </c:pt>
                <c:pt idx="178">
                  <c:v>14.177862232459916</c:v>
                </c:pt>
                <c:pt idx="179">
                  <c:v>14.271581028642078</c:v>
                </c:pt>
                <c:pt idx="180">
                  <c:v>14.635288196233564</c:v>
                </c:pt>
                <c:pt idx="181">
                  <c:v>13.616312841863444</c:v>
                </c:pt>
                <c:pt idx="182">
                  <c:v>12.889394924698362</c:v>
                </c:pt>
                <c:pt idx="183">
                  <c:v>13.125152177593048</c:v>
                </c:pt>
                <c:pt idx="184">
                  <c:v>12.1420220179292</c:v>
                </c:pt>
                <c:pt idx="185">
                  <c:v>11.493533271939382</c:v>
                </c:pt>
                <c:pt idx="186">
                  <c:v>10.824870888797822</c:v>
                </c:pt>
                <c:pt idx="187">
                  <c:v>9.705182491898622</c:v>
                </c:pt>
                <c:pt idx="188">
                  <c:v>8.9439616290073012</c:v>
                </c:pt>
                <c:pt idx="189">
                  <c:v>8.4162886975337479</c:v>
                </c:pt>
                <c:pt idx="190">
                  <c:v>8.9757026856039701</c:v>
                </c:pt>
                <c:pt idx="191">
                  <c:v>7.735305740253029</c:v>
                </c:pt>
                <c:pt idx="192">
                  <c:v>5.9943379342295211</c:v>
                </c:pt>
                <c:pt idx="193">
                  <c:v>5.8440746250928877</c:v>
                </c:pt>
                <c:pt idx="194">
                  <c:v>16.316932804870767</c:v>
                </c:pt>
                <c:pt idx="195">
                  <c:v>15.437823716801823</c:v>
                </c:pt>
                <c:pt idx="196">
                  <c:v>15.016030753462717</c:v>
                </c:pt>
                <c:pt idx="197">
                  <c:v>13.729744090128815</c:v>
                </c:pt>
                <c:pt idx="198">
                  <c:v>13.534557906533994</c:v>
                </c:pt>
                <c:pt idx="199">
                  <c:v>12.881817763452275</c:v>
                </c:pt>
                <c:pt idx="200">
                  <c:v>11.542683767508732</c:v>
                </c:pt>
                <c:pt idx="201">
                  <c:v>10.732873161204392</c:v>
                </c:pt>
                <c:pt idx="202">
                  <c:v>10.273554239133919</c:v>
                </c:pt>
                <c:pt idx="203">
                  <c:v>9.8001577914135432</c:v>
                </c:pt>
                <c:pt idx="204">
                  <c:v>9.6285934473624213</c:v>
                </c:pt>
                <c:pt idx="205">
                  <c:v>9.0938550269955556</c:v>
                </c:pt>
                <c:pt idx="206">
                  <c:v>-1.310296547346812</c:v>
                </c:pt>
                <c:pt idx="207">
                  <c:v>-2.0390529301307248</c:v>
                </c:pt>
                <c:pt idx="208">
                  <c:v>-1.5912469062905332</c:v>
                </c:pt>
                <c:pt idx="209">
                  <c:v>-1.2935434085696196</c:v>
                </c:pt>
                <c:pt idx="210">
                  <c:v>-1.7568572494322865</c:v>
                </c:pt>
                <c:pt idx="211">
                  <c:v>-1.6976982721621403</c:v>
                </c:pt>
                <c:pt idx="212">
                  <c:v>-0.13951851184795805</c:v>
                </c:pt>
                <c:pt idx="213">
                  <c:v>0.36424683200835251</c:v>
                </c:pt>
                <c:pt idx="214">
                  <c:v>0.50706337237635957</c:v>
                </c:pt>
                <c:pt idx="215">
                  <c:v>0.94132246502443007</c:v>
                </c:pt>
                <c:pt idx="216">
                  <c:v>1.4526544733308722</c:v>
                </c:pt>
                <c:pt idx="217">
                  <c:v>1.988348638689108</c:v>
                </c:pt>
                <c:pt idx="218">
                  <c:v>2.3033129788602391</c:v>
                </c:pt>
                <c:pt idx="219">
                  <c:v>2.8406874894770562</c:v>
                </c:pt>
                <c:pt idx="220">
                  <c:v>1.8228850161139398</c:v>
                </c:pt>
                <c:pt idx="221">
                  <c:v>1.8526378925678211</c:v>
                </c:pt>
                <c:pt idx="222">
                  <c:v>3.2913332640427839</c:v>
                </c:pt>
                <c:pt idx="223">
                  <c:v>3.9140497548902919</c:v>
                </c:pt>
                <c:pt idx="224">
                  <c:v>3.4383082592919445</c:v>
                </c:pt>
                <c:pt idx="225">
                  <c:v>3.3089396301800633</c:v>
                </c:pt>
                <c:pt idx="226">
                  <c:v>2.9558708904358744</c:v>
                </c:pt>
                <c:pt idx="227">
                  <c:v>2.8439516565729628</c:v>
                </c:pt>
                <c:pt idx="228">
                  <c:v>2.6021733837664263</c:v>
                </c:pt>
                <c:pt idx="229">
                  <c:v>2.8329385332446222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D22-41B5-9E9E-69E2CA05C8A7}"/>
            </c:ext>
          </c:extLst>
        </c:ser>
        <c:ser>
          <c:idx val="5"/>
          <c:order val="4"/>
          <c:tx>
            <c:strRef>
              <c:f>'G2.2'!$O$4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dLbls>
            <c:dLbl>
              <c:idx val="2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B4A-40B2-B971-EE320ECBCA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492303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'G2.2'!$A$5:$A$234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'G2.2'!$O$5:$O$234</c:f>
              <c:numCache>
                <c:formatCode>0.0</c:formatCode>
                <c:ptCount val="230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-12.811181450250618</c:v>
                </c:pt>
                <c:pt idx="13">
                  <c:v>-14.376485066392386</c:v>
                </c:pt>
                <c:pt idx="14">
                  <c:v>-16.671609181780077</c:v>
                </c:pt>
                <c:pt idx="15">
                  <c:v>-17.923529791760153</c:v>
                </c:pt>
                <c:pt idx="16">
                  <c:v>-17.392955114334974</c:v>
                </c:pt>
                <c:pt idx="17">
                  <c:v>-16.76319218083977</c:v>
                </c:pt>
                <c:pt idx="18">
                  <c:v>-15.538970287567377</c:v>
                </c:pt>
                <c:pt idx="19">
                  <c:v>-15.586229334686397</c:v>
                </c:pt>
                <c:pt idx="20">
                  <c:v>-15.493474592930145</c:v>
                </c:pt>
                <c:pt idx="21">
                  <c:v>-16.388167902472929</c:v>
                </c:pt>
                <c:pt idx="22">
                  <c:v>-16.487069166158609</c:v>
                </c:pt>
                <c:pt idx="23">
                  <c:v>-17.035226913439327</c:v>
                </c:pt>
                <c:pt idx="24">
                  <c:v>-15.598966540780779</c:v>
                </c:pt>
                <c:pt idx="25">
                  <c:v>-14.370217163915211</c:v>
                </c:pt>
                <c:pt idx="26">
                  <c:v>-10.454007185984882</c:v>
                </c:pt>
                <c:pt idx="27">
                  <c:v>-8.9129741619270124</c:v>
                </c:pt>
                <c:pt idx="28">
                  <c:v>-9.7743223188637369</c:v>
                </c:pt>
                <c:pt idx="29">
                  <c:v>-9.4662309378682696</c:v>
                </c:pt>
                <c:pt idx="30">
                  <c:v>-8.5896454971160274</c:v>
                </c:pt>
                <c:pt idx="31">
                  <c:v>-8.3441465084923454</c:v>
                </c:pt>
                <c:pt idx="32">
                  <c:v>-7.1411594411749491</c:v>
                </c:pt>
                <c:pt idx="33">
                  <c:v>-7.2636713751562549</c:v>
                </c:pt>
                <c:pt idx="34">
                  <c:v>-5.2803073499354536</c:v>
                </c:pt>
                <c:pt idx="35">
                  <c:v>-4.5423553532725975</c:v>
                </c:pt>
                <c:pt idx="36">
                  <c:v>-5.3255638328123078</c:v>
                </c:pt>
                <c:pt idx="37">
                  <c:v>-5.5635673404778263</c:v>
                </c:pt>
                <c:pt idx="38">
                  <c:v>-5.0090559199201135</c:v>
                </c:pt>
                <c:pt idx="39">
                  <c:v>-4.7503099340837851</c:v>
                </c:pt>
                <c:pt idx="40">
                  <c:v>-3.7431598464734317</c:v>
                </c:pt>
                <c:pt idx="41">
                  <c:v>-3.5470860067192467</c:v>
                </c:pt>
                <c:pt idx="42">
                  <c:v>-3.4998924128079922</c:v>
                </c:pt>
                <c:pt idx="43">
                  <c:v>-1.7409913187477088</c:v>
                </c:pt>
                <c:pt idx="44">
                  <c:v>-1.286880713076366</c:v>
                </c:pt>
                <c:pt idx="45">
                  <c:v>2.6452551265077062E-2</c:v>
                </c:pt>
                <c:pt idx="46">
                  <c:v>0.12908648926144295</c:v>
                </c:pt>
                <c:pt idx="47">
                  <c:v>0.60670491078977928</c:v>
                </c:pt>
                <c:pt idx="48">
                  <c:v>2.2209490483257932</c:v>
                </c:pt>
                <c:pt idx="49">
                  <c:v>3.1365402026438893</c:v>
                </c:pt>
                <c:pt idx="50">
                  <c:v>3.0432206541705309</c:v>
                </c:pt>
                <c:pt idx="51">
                  <c:v>3.5685024522361219</c:v>
                </c:pt>
                <c:pt idx="52">
                  <c:v>4.5628118689043706</c:v>
                </c:pt>
                <c:pt idx="53">
                  <c:v>4.4335368749154558</c:v>
                </c:pt>
                <c:pt idx="54">
                  <c:v>2.7527008269290443</c:v>
                </c:pt>
                <c:pt idx="55">
                  <c:v>1.5808934307647515</c:v>
                </c:pt>
                <c:pt idx="56">
                  <c:v>1.7733351704808165</c:v>
                </c:pt>
                <c:pt idx="57">
                  <c:v>1.0318805373746409</c:v>
                </c:pt>
                <c:pt idx="58">
                  <c:v>2.2374100696945787</c:v>
                </c:pt>
                <c:pt idx="59">
                  <c:v>1.6202684556677838</c:v>
                </c:pt>
                <c:pt idx="60">
                  <c:v>0.2588032276510166</c:v>
                </c:pt>
                <c:pt idx="61">
                  <c:v>5.3070495523464212</c:v>
                </c:pt>
                <c:pt idx="62">
                  <c:v>5.9776027348520167</c:v>
                </c:pt>
                <c:pt idx="63">
                  <c:v>4.8373778464841477</c:v>
                </c:pt>
                <c:pt idx="64">
                  <c:v>5.2314587133141632</c:v>
                </c:pt>
                <c:pt idx="65">
                  <c:v>6.1657474628002529</c:v>
                </c:pt>
                <c:pt idx="66">
                  <c:v>8.8552047140161285</c:v>
                </c:pt>
                <c:pt idx="67">
                  <c:v>10.050966705417741</c:v>
                </c:pt>
                <c:pt idx="68">
                  <c:v>11.399288588717393</c:v>
                </c:pt>
                <c:pt idx="69">
                  <c:v>11.909791294454175</c:v>
                </c:pt>
                <c:pt idx="70">
                  <c:v>11.594637572068422</c:v>
                </c:pt>
                <c:pt idx="71">
                  <c:v>12.904649425876258</c:v>
                </c:pt>
                <c:pt idx="72">
                  <c:v>14.303451409425838</c:v>
                </c:pt>
                <c:pt idx="73">
                  <c:v>9.45235192225371</c:v>
                </c:pt>
                <c:pt idx="74">
                  <c:v>9.4859448321373172</c:v>
                </c:pt>
                <c:pt idx="75">
                  <c:v>12.080621480489073</c:v>
                </c:pt>
                <c:pt idx="76">
                  <c:v>12.394880557262745</c:v>
                </c:pt>
                <c:pt idx="77">
                  <c:v>12.13835645264172</c:v>
                </c:pt>
                <c:pt idx="78">
                  <c:v>12.180821919031404</c:v>
                </c:pt>
                <c:pt idx="79">
                  <c:v>11.428428838440219</c:v>
                </c:pt>
                <c:pt idx="80">
                  <c:v>9.6960050005407528</c:v>
                </c:pt>
                <c:pt idx="81">
                  <c:v>10.08589429196638</c:v>
                </c:pt>
                <c:pt idx="82">
                  <c:v>10.406336238058135</c:v>
                </c:pt>
                <c:pt idx="83">
                  <c:v>10.179865494069684</c:v>
                </c:pt>
                <c:pt idx="84">
                  <c:v>11.552402737564105</c:v>
                </c:pt>
                <c:pt idx="85">
                  <c:v>12.988901816398712</c:v>
                </c:pt>
                <c:pt idx="86">
                  <c:v>14.599775338285559</c:v>
                </c:pt>
                <c:pt idx="87">
                  <c:v>13.507711421551495</c:v>
                </c:pt>
                <c:pt idx="88">
                  <c:v>15.634045915771244</c:v>
                </c:pt>
                <c:pt idx="89">
                  <c:v>17.859310917478233</c:v>
                </c:pt>
                <c:pt idx="90">
                  <c:v>19.284815894914932</c:v>
                </c:pt>
                <c:pt idx="91">
                  <c:v>20.910801571144198</c:v>
                </c:pt>
                <c:pt idx="92">
                  <c:v>22.796866429669073</c:v>
                </c:pt>
                <c:pt idx="93">
                  <c:v>23.901925547156424</c:v>
                </c:pt>
                <c:pt idx="94">
                  <c:v>25.621893044001752</c:v>
                </c:pt>
                <c:pt idx="95">
                  <c:v>27.014507158765365</c:v>
                </c:pt>
                <c:pt idx="96">
                  <c:v>26.681653326318532</c:v>
                </c:pt>
                <c:pt idx="97">
                  <c:v>26.053644878524885</c:v>
                </c:pt>
                <c:pt idx="98">
                  <c:v>26.13035118128353</c:v>
                </c:pt>
                <c:pt idx="99">
                  <c:v>28.26192581003415</c:v>
                </c:pt>
                <c:pt idx="100">
                  <c:v>26.276709810461686</c:v>
                </c:pt>
                <c:pt idx="101">
                  <c:v>25.755273818686231</c:v>
                </c:pt>
                <c:pt idx="102">
                  <c:v>24.604494561746538</c:v>
                </c:pt>
                <c:pt idx="103">
                  <c:v>24.351599471232998</c:v>
                </c:pt>
                <c:pt idx="104">
                  <c:v>24.486653940646818</c:v>
                </c:pt>
                <c:pt idx="105">
                  <c:v>24.359174006851436</c:v>
                </c:pt>
                <c:pt idx="106">
                  <c:v>23.715619936765187</c:v>
                </c:pt>
                <c:pt idx="107">
                  <c:v>23.079710183306435</c:v>
                </c:pt>
                <c:pt idx="108">
                  <c:v>21.324498350058185</c:v>
                </c:pt>
                <c:pt idx="109">
                  <c:v>20.246564587082915</c:v>
                </c:pt>
                <c:pt idx="110">
                  <c:v>19.0496922792764</c:v>
                </c:pt>
                <c:pt idx="111">
                  <c:v>17.456569755058936</c:v>
                </c:pt>
                <c:pt idx="112">
                  <c:v>16.727340331638231</c:v>
                </c:pt>
                <c:pt idx="113">
                  <c:v>15.097247759386967</c:v>
                </c:pt>
                <c:pt idx="114">
                  <c:v>15.288805699579267</c:v>
                </c:pt>
                <c:pt idx="115">
                  <c:v>14.247741532657043</c:v>
                </c:pt>
                <c:pt idx="116">
                  <c:v>13.76849488031613</c:v>
                </c:pt>
                <c:pt idx="117">
                  <c:v>13.508731706746513</c:v>
                </c:pt>
                <c:pt idx="118">
                  <c:v>13.430502121240263</c:v>
                </c:pt>
                <c:pt idx="119">
                  <c:v>12.902807172966501</c:v>
                </c:pt>
                <c:pt idx="120">
                  <c:v>12.171583839405242</c:v>
                </c:pt>
                <c:pt idx="121">
                  <c:v>12.063698711543026</c:v>
                </c:pt>
                <c:pt idx="122">
                  <c:v>10.748077536426969</c:v>
                </c:pt>
                <c:pt idx="123">
                  <c:v>9.7114233143126061</c:v>
                </c:pt>
                <c:pt idx="124">
                  <c:v>8.7342912697808917</c:v>
                </c:pt>
                <c:pt idx="125">
                  <c:v>9.3066059232437048</c:v>
                </c:pt>
                <c:pt idx="126">
                  <c:v>7.2139632433132705</c:v>
                </c:pt>
                <c:pt idx="127">
                  <c:v>5.9203868211190835</c:v>
                </c:pt>
                <c:pt idx="128">
                  <c:v>3.5089744561587866</c:v>
                </c:pt>
                <c:pt idx="129">
                  <c:v>1.5424224037352774</c:v>
                </c:pt>
                <c:pt idx="130">
                  <c:v>-5.3600418144084117E-2</c:v>
                </c:pt>
                <c:pt idx="131">
                  <c:v>-1.1362961843911945</c:v>
                </c:pt>
                <c:pt idx="132">
                  <c:v>-0.30623168836843018</c:v>
                </c:pt>
                <c:pt idx="133">
                  <c:v>-0.5656845843442504</c:v>
                </c:pt>
                <c:pt idx="134">
                  <c:v>0.17364982701821852</c:v>
                </c:pt>
                <c:pt idx="135">
                  <c:v>1.0217196698600439</c:v>
                </c:pt>
                <c:pt idx="136">
                  <c:v>1.8106511425598715</c:v>
                </c:pt>
                <c:pt idx="137">
                  <c:v>1.3697385925129257</c:v>
                </c:pt>
                <c:pt idx="138">
                  <c:v>2.6509294479715173</c:v>
                </c:pt>
                <c:pt idx="139">
                  <c:v>4.0438024299604081</c:v>
                </c:pt>
                <c:pt idx="140">
                  <c:v>6.5078234725163497</c:v>
                </c:pt>
                <c:pt idx="141">
                  <c:v>8.9425234810422527</c:v>
                </c:pt>
                <c:pt idx="142">
                  <c:v>10.258569409153973</c:v>
                </c:pt>
                <c:pt idx="143">
                  <c:v>12.996825166736548</c:v>
                </c:pt>
                <c:pt idx="144">
                  <c:v>14.580701078956594</c:v>
                </c:pt>
                <c:pt idx="145">
                  <c:v>14.847167653156014</c:v>
                </c:pt>
                <c:pt idx="146">
                  <c:v>16.54466076826364</c:v>
                </c:pt>
                <c:pt idx="147">
                  <c:v>17.653258661396663</c:v>
                </c:pt>
                <c:pt idx="148">
                  <c:v>18.597313918095558</c:v>
                </c:pt>
                <c:pt idx="149">
                  <c:v>19.825657850950474</c:v>
                </c:pt>
                <c:pt idx="150">
                  <c:v>19.672235285243911</c:v>
                </c:pt>
                <c:pt idx="151">
                  <c:v>20.041023204691498</c:v>
                </c:pt>
                <c:pt idx="152">
                  <c:v>20.36029656402625</c:v>
                </c:pt>
                <c:pt idx="153">
                  <c:v>19.936482948196943</c:v>
                </c:pt>
                <c:pt idx="154">
                  <c:v>19.115247362570976</c:v>
                </c:pt>
                <c:pt idx="155">
                  <c:v>18.835550882369233</c:v>
                </c:pt>
                <c:pt idx="156">
                  <c:v>17.263458425298815</c:v>
                </c:pt>
                <c:pt idx="157">
                  <c:v>17.043025700206105</c:v>
                </c:pt>
                <c:pt idx="158">
                  <c:v>15.747344603262725</c:v>
                </c:pt>
                <c:pt idx="159">
                  <c:v>15.553443777867271</c:v>
                </c:pt>
                <c:pt idx="160">
                  <c:v>15.203166871259777</c:v>
                </c:pt>
                <c:pt idx="161">
                  <c:v>14.276753083555715</c:v>
                </c:pt>
                <c:pt idx="162">
                  <c:v>14.020179095199548</c:v>
                </c:pt>
                <c:pt idx="163">
                  <c:v>13.523953522697552</c:v>
                </c:pt>
                <c:pt idx="164">
                  <c:v>12.736169348169391</c:v>
                </c:pt>
                <c:pt idx="165">
                  <c:v>11.48912435040006</c:v>
                </c:pt>
                <c:pt idx="166">
                  <c:v>11.549745012565005</c:v>
                </c:pt>
                <c:pt idx="167">
                  <c:v>10.948305910917311</c:v>
                </c:pt>
                <c:pt idx="168">
                  <c:v>11.858996062609716</c:v>
                </c:pt>
                <c:pt idx="169">
                  <c:v>12.337079099446168</c:v>
                </c:pt>
                <c:pt idx="170">
                  <c:v>12.221625823500904</c:v>
                </c:pt>
                <c:pt idx="171">
                  <c:v>11.727339634015754</c:v>
                </c:pt>
                <c:pt idx="172">
                  <c:v>11.708061320112773</c:v>
                </c:pt>
                <c:pt idx="173">
                  <c:v>11.657205091290624</c:v>
                </c:pt>
                <c:pt idx="174">
                  <c:v>12.108714126898711</c:v>
                </c:pt>
                <c:pt idx="175">
                  <c:v>11.818510732000753</c:v>
                </c:pt>
                <c:pt idx="176">
                  <c:v>12.034674261724287</c:v>
                </c:pt>
                <c:pt idx="177">
                  <c:v>12.321983012127568</c:v>
                </c:pt>
                <c:pt idx="178">
                  <c:v>11.861990455981509</c:v>
                </c:pt>
                <c:pt idx="179">
                  <c:v>11.011148137694882</c:v>
                </c:pt>
                <c:pt idx="180">
                  <c:v>10.037039841983763</c:v>
                </c:pt>
                <c:pt idx="181">
                  <c:v>10.524399109506488</c:v>
                </c:pt>
                <c:pt idx="182">
                  <c:v>10.863078756177668</c:v>
                </c:pt>
                <c:pt idx="183">
                  <c:v>10.827632850328728</c:v>
                </c:pt>
                <c:pt idx="184">
                  <c:v>10.809908358560127</c:v>
                </c:pt>
                <c:pt idx="185">
                  <c:v>10.744596929568285</c:v>
                </c:pt>
                <c:pt idx="186">
                  <c:v>10.406261896479286</c:v>
                </c:pt>
                <c:pt idx="187">
                  <c:v>10.183593298113269</c:v>
                </c:pt>
                <c:pt idx="188">
                  <c:v>9.7393718428944389</c:v>
                </c:pt>
                <c:pt idx="189">
                  <c:v>9.5736535044560469</c:v>
                </c:pt>
                <c:pt idx="190">
                  <c:v>9.7831325604651695</c:v>
                </c:pt>
                <c:pt idx="191">
                  <c:v>10.505778840491221</c:v>
                </c:pt>
                <c:pt idx="192">
                  <c:v>11.311991292389223</c:v>
                </c:pt>
                <c:pt idx="193">
                  <c:v>12.503826495619187</c:v>
                </c:pt>
                <c:pt idx="194">
                  <c:v>12.598122651598009</c:v>
                </c:pt>
                <c:pt idx="195">
                  <c:v>12.766403123869651</c:v>
                </c:pt>
                <c:pt idx="196">
                  <c:v>11.728545787035038</c:v>
                </c:pt>
                <c:pt idx="197">
                  <c:v>11.689543400326464</c:v>
                </c:pt>
                <c:pt idx="198">
                  <c:v>11.89089545007127</c:v>
                </c:pt>
                <c:pt idx="199">
                  <c:v>12.716835332850817</c:v>
                </c:pt>
                <c:pt idx="200">
                  <c:v>14.065910576716224</c:v>
                </c:pt>
                <c:pt idx="201">
                  <c:v>13.146462995345631</c:v>
                </c:pt>
                <c:pt idx="202">
                  <c:v>12.622588807530954</c:v>
                </c:pt>
                <c:pt idx="203">
                  <c:v>11.568851268473201</c:v>
                </c:pt>
                <c:pt idx="204">
                  <c:v>10.057465185163306</c:v>
                </c:pt>
                <c:pt idx="205">
                  <c:v>8.4123333777272649</c:v>
                </c:pt>
                <c:pt idx="206">
                  <c:v>7.6677117563517694</c:v>
                </c:pt>
                <c:pt idx="207">
                  <c:v>6.0650384221742515</c:v>
                </c:pt>
                <c:pt idx="208">
                  <c:v>6.4322278319922876</c:v>
                </c:pt>
                <c:pt idx="209">
                  <c:v>6.1348820789839831</c:v>
                </c:pt>
                <c:pt idx="210">
                  <c:v>4.7546269162236143</c:v>
                </c:pt>
                <c:pt idx="211">
                  <c:v>4.2767258883929182</c:v>
                </c:pt>
                <c:pt idx="212">
                  <c:v>2.5287998404890599</c:v>
                </c:pt>
                <c:pt idx="213">
                  <c:v>2.625862385091593</c:v>
                </c:pt>
                <c:pt idx="214">
                  <c:v>2.6368005605501121</c:v>
                </c:pt>
                <c:pt idx="215">
                  <c:v>2.5205249792252582</c:v>
                </c:pt>
                <c:pt idx="216">
                  <c:v>2.3981919032464383</c:v>
                </c:pt>
                <c:pt idx="217">
                  <c:v>1.4285418643721792</c:v>
                </c:pt>
                <c:pt idx="218">
                  <c:v>1.2300439098452909</c:v>
                </c:pt>
                <c:pt idx="219">
                  <c:v>2.0147345086070523</c:v>
                </c:pt>
                <c:pt idx="220">
                  <c:v>1.7848072855360275</c:v>
                </c:pt>
                <c:pt idx="221">
                  <c:v>1.2593810601893685</c:v>
                </c:pt>
                <c:pt idx="222">
                  <c:v>2.1230738099935031</c:v>
                </c:pt>
                <c:pt idx="223">
                  <c:v>1.5306069097149155</c:v>
                </c:pt>
                <c:pt idx="224">
                  <c:v>1.2899808183732153</c:v>
                </c:pt>
                <c:pt idx="225">
                  <c:v>1.6875261738396485</c:v>
                </c:pt>
                <c:pt idx="226">
                  <c:v>1.5537030961653597</c:v>
                </c:pt>
                <c:pt idx="227">
                  <c:v>1.0788888346815462</c:v>
                </c:pt>
                <c:pt idx="228">
                  <c:v>1.2483417952588116</c:v>
                </c:pt>
                <c:pt idx="229">
                  <c:v>1.5887582394696453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D22-41B5-9E9E-69E2CA05C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740608"/>
        <c:axId val="245282624"/>
      </c:lineChart>
      <c:dateAx>
        <c:axId val="105740608"/>
        <c:scaling>
          <c:orientation val="minMax"/>
          <c:min val="4273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245282624"/>
        <c:crosses val="autoZero"/>
        <c:auto val="1"/>
        <c:lblOffset val="100"/>
        <c:baseTimeUnit val="months"/>
        <c:majorUnit val="6"/>
        <c:majorTimeUnit val="months"/>
      </c:dateAx>
      <c:valAx>
        <c:axId val="245282624"/>
        <c:scaling>
          <c:orientation val="minMax"/>
          <c:max val="10"/>
          <c:min val="-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105740608"/>
        <c:crosses val="autoZero"/>
        <c:crossBetween val="midCat"/>
        <c:minorUnit val="5"/>
      </c:valAx>
      <c:spPr>
        <a:solidFill>
          <a:srgbClr val="F0DCDC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166239779693209E-2"/>
          <c:y val="0.13092108147280856"/>
          <c:w val="0.90043760489435287"/>
          <c:h val="0.70395960169659522"/>
        </c:manualLayout>
      </c:layout>
      <c:lineChart>
        <c:grouping val="standard"/>
        <c:varyColors val="0"/>
        <c:ser>
          <c:idx val="0"/>
          <c:order val="0"/>
          <c:tx>
            <c:strRef>
              <c:f>'G2.3'!$N$3</c:f>
              <c:strCache>
                <c:ptCount val="1"/>
                <c:pt idx="0">
                  <c:v>Cambio en las exigencias de otorgamiento</c:v>
                </c:pt>
              </c:strCache>
            </c:strRef>
          </c:tx>
          <c:spPr>
            <a:ln w="28575" cap="rnd">
              <a:solidFill>
                <a:srgbClr val="9E0000"/>
              </a:solidFill>
              <a:round/>
            </a:ln>
            <a:effectLst/>
          </c:spPr>
          <c:marker>
            <c:symbol val="none"/>
          </c:marker>
          <c:cat>
            <c:numRef>
              <c:f>'G2.3'!$A$4:$A$44</c:f>
              <c:numCache>
                <c:formatCode>mmm\-yy</c:formatCode>
                <c:ptCount val="41"/>
                <c:pt idx="0">
                  <c:v>39508</c:v>
                </c:pt>
                <c:pt idx="1">
                  <c:v>39630</c:v>
                </c:pt>
                <c:pt idx="2">
                  <c:v>39722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</c:numCache>
            </c:numRef>
          </c:cat>
          <c:val>
            <c:numRef>
              <c:f>'G2.3'!$N$4:$N$44</c:f>
              <c:numCache>
                <c:formatCode>0.00</c:formatCode>
                <c:ptCount val="41"/>
                <c:pt idx="0">
                  <c:v>-10.625332785944424</c:v>
                </c:pt>
                <c:pt idx="1">
                  <c:v>-49.752390515362933</c:v>
                </c:pt>
                <c:pt idx="2">
                  <c:v>-68.606154070363232</c:v>
                </c:pt>
                <c:pt idx="3">
                  <c:v>-70.127447656700255</c:v>
                </c:pt>
                <c:pt idx="4">
                  <c:v>-55.87318441288437</c:v>
                </c:pt>
                <c:pt idx="5">
                  <c:v>-48.798521038135995</c:v>
                </c:pt>
                <c:pt idx="6">
                  <c:v>-32.785178766907883</c:v>
                </c:pt>
                <c:pt idx="7">
                  <c:v>-33.559198556879359</c:v>
                </c:pt>
                <c:pt idx="8">
                  <c:v>-24.089564585188935</c:v>
                </c:pt>
                <c:pt idx="9">
                  <c:v>-7.4134811766744511</c:v>
                </c:pt>
                <c:pt idx="10">
                  <c:v>3.8122790703950331</c:v>
                </c:pt>
                <c:pt idx="11">
                  <c:v>12.035639718642377</c:v>
                </c:pt>
                <c:pt idx="12">
                  <c:v>5.4063248797628702</c:v>
                </c:pt>
                <c:pt idx="13">
                  <c:v>-10.558308458481191</c:v>
                </c:pt>
                <c:pt idx="14">
                  <c:v>-3.7475990950917248</c:v>
                </c:pt>
                <c:pt idx="15">
                  <c:v>-14.660266287450808</c:v>
                </c:pt>
                <c:pt idx="16">
                  <c:v>-23.866351931194281</c:v>
                </c:pt>
                <c:pt idx="17">
                  <c:v>-35.422913408716248</c:v>
                </c:pt>
                <c:pt idx="18">
                  <c:v>-29.720910224077851</c:v>
                </c:pt>
                <c:pt idx="19">
                  <c:v>-38.995024004650553</c:v>
                </c:pt>
                <c:pt idx="20">
                  <c:v>-38.799755979195972</c:v>
                </c:pt>
                <c:pt idx="21">
                  <c:v>-36.2359223681812</c:v>
                </c:pt>
                <c:pt idx="22">
                  <c:v>-25.378354729866867</c:v>
                </c:pt>
                <c:pt idx="23">
                  <c:v>-21.828815925050215</c:v>
                </c:pt>
                <c:pt idx="24">
                  <c:v>-11.742760557327461</c:v>
                </c:pt>
                <c:pt idx="25">
                  <c:v>-19.183303277199308</c:v>
                </c:pt>
                <c:pt idx="26">
                  <c:v>-24.70968830329431</c:v>
                </c:pt>
                <c:pt idx="27">
                  <c:v>2.3867183600082429</c:v>
                </c:pt>
                <c:pt idx="28">
                  <c:v>-32.548110508319816</c:v>
                </c:pt>
                <c:pt idx="29">
                  <c:v>-39.315522398742942</c:v>
                </c:pt>
                <c:pt idx="30">
                  <c:v>-56.145116969499384</c:v>
                </c:pt>
                <c:pt idx="31">
                  <c:v>-55.649251459930646</c:v>
                </c:pt>
                <c:pt idx="32">
                  <c:v>-44.252916192235169</c:v>
                </c:pt>
                <c:pt idx="33">
                  <c:v>-50.129371258159338</c:v>
                </c:pt>
                <c:pt idx="34">
                  <c:v>-50.180328297415606</c:v>
                </c:pt>
                <c:pt idx="35">
                  <c:v>-31.876968832311793</c:v>
                </c:pt>
                <c:pt idx="36">
                  <c:v>-29.318863041808051</c:v>
                </c:pt>
                <c:pt idx="37">
                  <c:v>-46.726430339104901</c:v>
                </c:pt>
                <c:pt idx="38">
                  <c:v>-41.727513584408307</c:v>
                </c:pt>
                <c:pt idx="39">
                  <c:v>-66.07491106853287</c:v>
                </c:pt>
                <c:pt idx="40">
                  <c:v>-25.182880213603596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DA-468B-B1D6-3B4CA94D76C8}"/>
            </c:ext>
          </c:extLst>
        </c:ser>
        <c:ser>
          <c:idx val="1"/>
          <c:order val="1"/>
          <c:tx>
            <c:strRef>
              <c:f>'G2.3'!$O$3</c:f>
              <c:strCache>
                <c:ptCount val="1"/>
                <c:pt idx="0">
                  <c:v>Cambio en la demanda de crédito</c:v>
                </c:pt>
              </c:strCache>
            </c:strRef>
          </c:tx>
          <c:spPr>
            <a:ln w="28575" cap="rnd">
              <a:solidFill>
                <a:srgbClr val="EAB200"/>
              </a:solidFill>
              <a:round/>
            </a:ln>
            <a:effectLst/>
          </c:spPr>
          <c:marker>
            <c:symbol val="none"/>
          </c:marker>
          <c:cat>
            <c:numRef>
              <c:f>'G2.3'!$A$4:$A$44</c:f>
              <c:numCache>
                <c:formatCode>mmm\-yy</c:formatCode>
                <c:ptCount val="41"/>
                <c:pt idx="0">
                  <c:v>39508</c:v>
                </c:pt>
                <c:pt idx="1">
                  <c:v>39630</c:v>
                </c:pt>
                <c:pt idx="2">
                  <c:v>39722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</c:numCache>
            </c:numRef>
          </c:cat>
          <c:val>
            <c:numRef>
              <c:f>'G2.3'!$O$4:$O$44</c:f>
              <c:numCache>
                <c:formatCode>0.00</c:formatCode>
                <c:ptCount val="41"/>
                <c:pt idx="4">
                  <c:v>-33.9482084679357</c:v>
                </c:pt>
                <c:pt idx="5">
                  <c:v>-27.576033868517356</c:v>
                </c:pt>
                <c:pt idx="6">
                  <c:v>-14.511270087051788</c:v>
                </c:pt>
                <c:pt idx="7">
                  <c:v>-20.251093100904459</c:v>
                </c:pt>
                <c:pt idx="8">
                  <c:v>8.6693709209218444</c:v>
                </c:pt>
                <c:pt idx="9">
                  <c:v>18.623052473147499</c:v>
                </c:pt>
                <c:pt idx="10">
                  <c:v>36.980137543232232</c:v>
                </c:pt>
                <c:pt idx="11">
                  <c:v>51.189889607261499</c:v>
                </c:pt>
                <c:pt idx="12">
                  <c:v>13.325262648626868</c:v>
                </c:pt>
                <c:pt idx="13">
                  <c:v>38.623861141495908</c:v>
                </c:pt>
                <c:pt idx="14">
                  <c:v>37.453205280239523</c:v>
                </c:pt>
                <c:pt idx="15">
                  <c:v>18.167750450438145</c:v>
                </c:pt>
                <c:pt idx="16">
                  <c:v>9.5132047361514047</c:v>
                </c:pt>
                <c:pt idx="17">
                  <c:v>-4.4972504769900512</c:v>
                </c:pt>
                <c:pt idx="18">
                  <c:v>-6.2140801883321961</c:v>
                </c:pt>
                <c:pt idx="19">
                  <c:v>7.1570217786035997</c:v>
                </c:pt>
                <c:pt idx="20">
                  <c:v>-36.065117451163445</c:v>
                </c:pt>
                <c:pt idx="21">
                  <c:v>8.3014935261126794</c:v>
                </c:pt>
                <c:pt idx="22">
                  <c:v>11.790987839443655</c:v>
                </c:pt>
                <c:pt idx="23">
                  <c:v>18.982425540741414</c:v>
                </c:pt>
                <c:pt idx="24">
                  <c:v>-14.116770010186542</c:v>
                </c:pt>
                <c:pt idx="25">
                  <c:v>11.723753533519831</c:v>
                </c:pt>
                <c:pt idx="26">
                  <c:v>10.400440188011876</c:v>
                </c:pt>
                <c:pt idx="27">
                  <c:v>32.384716011327754</c:v>
                </c:pt>
                <c:pt idx="28">
                  <c:v>17.798475107494848</c:v>
                </c:pt>
                <c:pt idx="29">
                  <c:v>1.9075684241475079</c:v>
                </c:pt>
                <c:pt idx="30">
                  <c:v>17.109446078702742</c:v>
                </c:pt>
                <c:pt idx="31">
                  <c:v>24.710425587441282</c:v>
                </c:pt>
                <c:pt idx="32">
                  <c:v>-18.013342261935144</c:v>
                </c:pt>
                <c:pt idx="33">
                  <c:v>-11.267353158692478</c:v>
                </c:pt>
                <c:pt idx="34">
                  <c:v>-22.42942492258971</c:v>
                </c:pt>
                <c:pt idx="35">
                  <c:v>-7.9096763133778278</c:v>
                </c:pt>
                <c:pt idx="36">
                  <c:v>-28.753277533604415</c:v>
                </c:pt>
                <c:pt idx="37">
                  <c:v>-10.777837775724878</c:v>
                </c:pt>
                <c:pt idx="38">
                  <c:v>-23.21040617022102</c:v>
                </c:pt>
                <c:pt idx="39">
                  <c:v>-11.671862221441483</c:v>
                </c:pt>
                <c:pt idx="40">
                  <c:v>-14.197672539215445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DA-468B-B1D6-3B4CA94D7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368720"/>
        <c:axId val="245953280"/>
      </c:lineChart>
      <c:dateAx>
        <c:axId val="245368720"/>
        <c:scaling>
          <c:orientation val="minMax"/>
          <c:min val="39873"/>
        </c:scaling>
        <c:delete val="0"/>
        <c:axPos val="b"/>
        <c:numFmt formatCode="mmm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O"/>
          </a:p>
        </c:txPr>
        <c:crossAx val="245953280"/>
        <c:crosses val="autoZero"/>
        <c:auto val="1"/>
        <c:lblOffset val="100"/>
        <c:baseTimeUnit val="months"/>
        <c:majorUnit val="12"/>
        <c:majorTimeUnit val="months"/>
      </c:dateAx>
      <c:valAx>
        <c:axId val="245953280"/>
        <c:scaling>
          <c:orientation val="minMax"/>
          <c:max val="6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s-CO"/>
                  <a:t>(balance de respuestas)</a:t>
                </a:r>
              </a:p>
            </c:rich>
          </c:tx>
          <c:layout>
            <c:manualLayout>
              <c:xMode val="edge"/>
              <c:yMode val="edge"/>
              <c:x val="0"/>
              <c:y val="2.08669156205015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CO"/>
            </a:p>
          </c:txPr>
        </c:title>
        <c:numFmt formatCode="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O"/>
          </a:p>
        </c:txPr>
        <c:crossAx val="24536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1887316977939728"/>
          <c:h val="0.72089908787167334"/>
        </c:manualLayout>
      </c:layout>
      <c:lineChart>
        <c:grouping val="standard"/>
        <c:varyColors val="0"/>
        <c:ser>
          <c:idx val="0"/>
          <c:order val="0"/>
          <c:tx>
            <c:strRef>
              <c:f>'G2.4A'!$B$3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'G2.4A'!$B$4:$B$500</c:f>
              <c:numCache>
                <c:formatCode>#,##0.0</c:formatCode>
                <c:ptCount val="497"/>
                <c:pt idx="0">
                  <c:v>26.756789925081417</c:v>
                </c:pt>
                <c:pt idx="1">
                  <c:v>27.169647797227789</c:v>
                </c:pt>
                <c:pt idx="2">
                  <c:v>27.743881136699478</c:v>
                </c:pt>
                <c:pt idx="3">
                  <c:v>27.343894228659256</c:v>
                </c:pt>
                <c:pt idx="4">
                  <c:v>26.433027455136003</c:v>
                </c:pt>
                <c:pt idx="5">
                  <c:v>25.003216797153272</c:v>
                </c:pt>
                <c:pt idx="6">
                  <c:v>24.476498529632327</c:v>
                </c:pt>
                <c:pt idx="7">
                  <c:v>24.227970429840468</c:v>
                </c:pt>
                <c:pt idx="8">
                  <c:v>22.072738043757862</c:v>
                </c:pt>
                <c:pt idx="9">
                  <c:v>22.289476393678637</c:v>
                </c:pt>
                <c:pt idx="10">
                  <c:v>21.535515267950235</c:v>
                </c:pt>
                <c:pt idx="11">
                  <c:v>21.077917870934442</c:v>
                </c:pt>
                <c:pt idx="12">
                  <c:v>21.097010706078986</c:v>
                </c:pt>
                <c:pt idx="13">
                  <c:v>20.110091499650697</c:v>
                </c:pt>
                <c:pt idx="14">
                  <c:v>19.68939568024701</c:v>
                </c:pt>
                <c:pt idx="15">
                  <c:v>18.680836354953065</c:v>
                </c:pt>
                <c:pt idx="16">
                  <c:v>18.224516050983731</c:v>
                </c:pt>
                <c:pt idx="17">
                  <c:v>17.667094820752482</c:v>
                </c:pt>
                <c:pt idx="18">
                  <c:v>16.735069089768615</c:v>
                </c:pt>
                <c:pt idx="19">
                  <c:v>16.725268446712143</c:v>
                </c:pt>
                <c:pt idx="20">
                  <c:v>16.106662214904429</c:v>
                </c:pt>
                <c:pt idx="21">
                  <c:v>15.536264475943204</c:v>
                </c:pt>
                <c:pt idx="22">
                  <c:v>15.47272016765754</c:v>
                </c:pt>
                <c:pt idx="23">
                  <c:v>15.059740537851408</c:v>
                </c:pt>
                <c:pt idx="24">
                  <c:v>14.407001119155691</c:v>
                </c:pt>
                <c:pt idx="25">
                  <c:v>14.002923384319683</c:v>
                </c:pt>
                <c:pt idx="26">
                  <c:v>13.777248240367712</c:v>
                </c:pt>
                <c:pt idx="27">
                  <c:v>13.598428848836349</c:v>
                </c:pt>
                <c:pt idx="28">
                  <c:v>13.729237742341768</c:v>
                </c:pt>
                <c:pt idx="29">
                  <c:v>12.892631582196719</c:v>
                </c:pt>
                <c:pt idx="30">
                  <c:v>12.394240235562599</c:v>
                </c:pt>
                <c:pt idx="31">
                  <c:v>11.902453742578864</c:v>
                </c:pt>
                <c:pt idx="32">
                  <c:v>11.433346195709767</c:v>
                </c:pt>
                <c:pt idx="33">
                  <c:v>10.973951540933589</c:v>
                </c:pt>
                <c:pt idx="34">
                  <c:v>10.420513746080228</c:v>
                </c:pt>
                <c:pt idx="35">
                  <c:v>9.8018514529169938</c:v>
                </c:pt>
                <c:pt idx="36">
                  <c:v>9.9700529717713398</c:v>
                </c:pt>
                <c:pt idx="37">
                  <c:v>9.7881687684529819</c:v>
                </c:pt>
                <c:pt idx="38">
                  <c:v>9.5738570685353643</c:v>
                </c:pt>
                <c:pt idx="39">
                  <c:v>9.5596584300878185</c:v>
                </c:pt>
                <c:pt idx="40">
                  <c:v>9.6790512038305465</c:v>
                </c:pt>
                <c:pt idx="41">
                  <c:v>9.5886522451330691</c:v>
                </c:pt>
                <c:pt idx="42">
                  <c:v>10.044448351031926</c:v>
                </c:pt>
                <c:pt idx="43">
                  <c:v>9.3293091375794859</c:v>
                </c:pt>
                <c:pt idx="44">
                  <c:v>8.540417836349917</c:v>
                </c:pt>
                <c:pt idx="45">
                  <c:v>8.5806359026012338</c:v>
                </c:pt>
                <c:pt idx="46">
                  <c:v>8.7392964916720111</c:v>
                </c:pt>
                <c:pt idx="47">
                  <c:v>8.360794983508212</c:v>
                </c:pt>
                <c:pt idx="48">
                  <c:v>8.6259322655434918</c:v>
                </c:pt>
                <c:pt idx="49">
                  <c:v>8.0812809183521388</c:v>
                </c:pt>
                <c:pt idx="50">
                  <c:v>7.9646719984422898</c:v>
                </c:pt>
                <c:pt idx="51">
                  <c:v>7.9150361023337954</c:v>
                </c:pt>
                <c:pt idx="52">
                  <c:v>7.4962416558953535</c:v>
                </c:pt>
                <c:pt idx="53">
                  <c:v>7.1003594540110226</c:v>
                </c:pt>
                <c:pt idx="54">
                  <c:v>7.045319398986817</c:v>
                </c:pt>
                <c:pt idx="55">
                  <c:v>6.4827271054808655</c:v>
                </c:pt>
                <c:pt idx="56">
                  <c:v>6.2566171607757326</c:v>
                </c:pt>
                <c:pt idx="57">
                  <c:v>6.1432928672053784</c:v>
                </c:pt>
                <c:pt idx="58">
                  <c:v>5.5096613190749588</c:v>
                </c:pt>
                <c:pt idx="59">
                  <c:v>5.8970705660708154</c:v>
                </c:pt>
                <c:pt idx="60">
                  <c:v>5.7640769425826761</c:v>
                </c:pt>
                <c:pt idx="61">
                  <c:v>5.7490331192101634</c:v>
                </c:pt>
                <c:pt idx="62">
                  <c:v>5.9667897958252114</c:v>
                </c:pt>
                <c:pt idx="63">
                  <c:v>5.8768866797505783</c:v>
                </c:pt>
                <c:pt idx="64">
                  <c:v>5.4853714831574258</c:v>
                </c:pt>
                <c:pt idx="65">
                  <c:v>6.1425656331194505</c:v>
                </c:pt>
                <c:pt idx="66">
                  <c:v>5.4336724608651616</c:v>
                </c:pt>
                <c:pt idx="67">
                  <c:v>5.5431243790934017</c:v>
                </c:pt>
                <c:pt idx="68">
                  <c:v>5.219533008347204</c:v>
                </c:pt>
                <c:pt idx="69">
                  <c:v>5.4771156266148244</c:v>
                </c:pt>
                <c:pt idx="70">
                  <c:v>5.237347685174214</c:v>
                </c:pt>
                <c:pt idx="71">
                  <c:v>5.5431599135086378</c:v>
                </c:pt>
                <c:pt idx="72">
                  <c:v>5.6757375897341538</c:v>
                </c:pt>
                <c:pt idx="73">
                  <c:v>5.5749829647990019</c:v>
                </c:pt>
                <c:pt idx="74">
                  <c:v>5.4273892018384329</c:v>
                </c:pt>
                <c:pt idx="75">
                  <c:v>5.5244427099108675</c:v>
                </c:pt>
                <c:pt idx="76">
                  <c:v>5.688662169408996</c:v>
                </c:pt>
                <c:pt idx="77">
                  <c:v>6.135378459955267</c:v>
                </c:pt>
                <c:pt idx="78">
                  <c:v>7.2840531536766235</c:v>
                </c:pt>
                <c:pt idx="79">
                  <c:v>7.4556224764804799</c:v>
                </c:pt>
                <c:pt idx="80">
                  <c:v>7.3243320425783107</c:v>
                </c:pt>
                <c:pt idx="81">
                  <c:v>7.5534269553044391</c:v>
                </c:pt>
                <c:pt idx="82">
                  <c:v>8.0218380528232753</c:v>
                </c:pt>
                <c:pt idx="83">
                  <c:v>7.7424153527813671</c:v>
                </c:pt>
                <c:pt idx="84">
                  <c:v>7.8827292679228833</c:v>
                </c:pt>
                <c:pt idx="85">
                  <c:v>7.9688131151593833</c:v>
                </c:pt>
                <c:pt idx="86">
                  <c:v>8.2396350344655289</c:v>
                </c:pt>
                <c:pt idx="87">
                  <c:v>8.3762791947213895</c:v>
                </c:pt>
                <c:pt idx="88">
                  <c:v>8.5400302471330196</c:v>
                </c:pt>
                <c:pt idx="89">
                  <c:v>8.2845046793853481</c:v>
                </c:pt>
                <c:pt idx="90">
                  <c:v>8.3949476562143648</c:v>
                </c:pt>
                <c:pt idx="91">
                  <c:v>8.5180393055952255</c:v>
                </c:pt>
                <c:pt idx="92">
                  <c:v>8.5718924979642015</c:v>
                </c:pt>
                <c:pt idx="93">
                  <c:v>8.7319458876046614</c:v>
                </c:pt>
                <c:pt idx="94">
                  <c:v>8.9492880798821233</c:v>
                </c:pt>
                <c:pt idx="95">
                  <c:v>9.631310588099808</c:v>
                </c:pt>
                <c:pt idx="96">
                  <c:v>9.7983211811921542</c:v>
                </c:pt>
                <c:pt idx="97">
                  <c:v>9.6902033297721015</c:v>
                </c:pt>
                <c:pt idx="98">
                  <c:v>9.9656372809079024</c:v>
                </c:pt>
                <c:pt idx="99">
                  <c:v>9.4257093579282003</c:v>
                </c:pt>
                <c:pt idx="100">
                  <c:v>9.1356716769865578</c:v>
                </c:pt>
                <c:pt idx="101">
                  <c:v>9.3423854930205774</c:v>
                </c:pt>
                <c:pt idx="102">
                  <c:v>9.1702050500746335</c:v>
                </c:pt>
                <c:pt idx="103">
                  <c:v>8.7250135700697058</c:v>
                </c:pt>
                <c:pt idx="104">
                  <c:v>7.9637567151632132</c:v>
                </c:pt>
                <c:pt idx="105">
                  <c:v>7.8579432265485298</c:v>
                </c:pt>
                <c:pt idx="106">
                  <c:v>7.4907516885247771</c:v>
                </c:pt>
                <c:pt idx="107">
                  <c:v>7.7036085748267356</c:v>
                </c:pt>
                <c:pt idx="108">
                  <c:v>7.8047451160969841</c:v>
                </c:pt>
                <c:pt idx="109">
                  <c:v>7.6949019260458593</c:v>
                </c:pt>
                <c:pt idx="110">
                  <c:v>7.4120439829324409</c:v>
                </c:pt>
                <c:pt idx="111">
                  <c:v>7.1205118498187874</c:v>
                </c:pt>
                <c:pt idx="112">
                  <c:v>7.1914004089050749</c:v>
                </c:pt>
                <c:pt idx="113">
                  <c:v>7.3194748799835221</c:v>
                </c:pt>
                <c:pt idx="114">
                  <c:v>7.1651258955598243</c:v>
                </c:pt>
                <c:pt idx="115">
                  <c:v>6.9885242533317689</c:v>
                </c:pt>
                <c:pt idx="116">
                  <c:v>6.7676575999758608</c:v>
                </c:pt>
                <c:pt idx="117">
                  <c:v>6.6032864614092608</c:v>
                </c:pt>
                <c:pt idx="118">
                  <c:v>6.5292484050951956</c:v>
                </c:pt>
                <c:pt idx="119">
                  <c:v>6.6772454131771708</c:v>
                </c:pt>
                <c:pt idx="120">
                  <c:v>6.6850766204896859</c:v>
                </c:pt>
                <c:pt idx="121">
                  <c:v>6.5032337492001355</c:v>
                </c:pt>
                <c:pt idx="122">
                  <c:v>6.8084852775887263</c:v>
                </c:pt>
                <c:pt idx="123">
                  <c:v>6.5396095656188287</c:v>
                </c:pt>
                <c:pt idx="124">
                  <c:v>6.4323023934267791</c:v>
                </c:pt>
                <c:pt idx="125">
                  <c:v>6.7380818498457353</c:v>
                </c:pt>
                <c:pt idx="126">
                  <c:v>6.6127653423550878</c:v>
                </c:pt>
                <c:pt idx="127">
                  <c:v>6.5915353968250585</c:v>
                </c:pt>
                <c:pt idx="128">
                  <c:v>6.1716230216383021</c:v>
                </c:pt>
                <c:pt idx="129">
                  <c:v>6.2007759380471725</c:v>
                </c:pt>
                <c:pt idx="130">
                  <c:v>5.9790625720567849</c:v>
                </c:pt>
                <c:pt idx="131">
                  <c:v>6.2830871268736557</c:v>
                </c:pt>
                <c:pt idx="132">
                  <c:v>6.5384707840006948</c:v>
                </c:pt>
                <c:pt idx="133">
                  <c:v>6.6166243478321851</c:v>
                </c:pt>
                <c:pt idx="134">
                  <c:v>6.453635063024814</c:v>
                </c:pt>
                <c:pt idx="135">
                  <c:v>6.3459565521983006</c:v>
                </c:pt>
                <c:pt idx="136">
                  <c:v>6.3629761940389864</c:v>
                </c:pt>
                <c:pt idx="137">
                  <c:v>6.6188066032544617</c:v>
                </c:pt>
                <c:pt idx="138">
                  <c:v>6.610388362463099</c:v>
                </c:pt>
                <c:pt idx="139">
                  <c:v>6.6832994365467515</c:v>
                </c:pt>
                <c:pt idx="140">
                  <c:v>6.5696896383820205</c:v>
                </c:pt>
                <c:pt idx="141">
                  <c:v>6.5509022138717006</c:v>
                </c:pt>
                <c:pt idx="142">
                  <c:v>6.4993524162573468</c:v>
                </c:pt>
                <c:pt idx="143">
                  <c:v>6.6217822685829804</c:v>
                </c:pt>
                <c:pt idx="144">
                  <c:v>6.6071882834481634</c:v>
                </c:pt>
                <c:pt idx="145">
                  <c:v>6.3390344368975198</c:v>
                </c:pt>
                <c:pt idx="146">
                  <c:v>6.5065687472318237</c:v>
                </c:pt>
                <c:pt idx="147">
                  <c:v>6.3418568281056675</c:v>
                </c:pt>
                <c:pt idx="148">
                  <c:v>6.3304393006683179</c:v>
                </c:pt>
                <c:pt idx="149">
                  <c:v>6.4904993306901924</c:v>
                </c:pt>
                <c:pt idx="150">
                  <c:v>6.5884936438087038</c:v>
                </c:pt>
                <c:pt idx="151">
                  <c:v>6.5995972998166827</c:v>
                </c:pt>
                <c:pt idx="152">
                  <c:v>6.5756602456469233</c:v>
                </c:pt>
                <c:pt idx="153">
                  <c:v>6.5263757942610203</c:v>
                </c:pt>
                <c:pt idx="154">
                  <c:v>6.3424066757610422</c:v>
                </c:pt>
                <c:pt idx="155">
                  <c:v>6.6516598036270072</c:v>
                </c:pt>
                <c:pt idx="156">
                  <c:v>6.7571001830191531</c:v>
                </c:pt>
                <c:pt idx="157">
                  <c:v>6.6254611000157118</c:v>
                </c:pt>
                <c:pt idx="158">
                  <c:v>6.5038056768709529</c:v>
                </c:pt>
                <c:pt idx="159">
                  <c:v>6.5368953714041318</c:v>
                </c:pt>
                <c:pt idx="160">
                  <c:v>6.3803550049901556</c:v>
                </c:pt>
                <c:pt idx="161">
                  <c:v>6.7455168273009267</c:v>
                </c:pt>
                <c:pt idx="162">
                  <c:v>6.5984416065711837</c:v>
                </c:pt>
                <c:pt idx="163">
                  <c:v>6.4372721113468963</c:v>
                </c:pt>
                <c:pt idx="164">
                  <c:v>6.5505956051188745</c:v>
                </c:pt>
                <c:pt idx="165">
                  <c:v>6.6953647793047431</c:v>
                </c:pt>
                <c:pt idx="166">
                  <c:v>6.489147933811962</c:v>
                </c:pt>
                <c:pt idx="167">
                  <c:v>6.8777738117236336</c:v>
                </c:pt>
                <c:pt idx="168">
                  <c:v>6.9573951678207662</c:v>
                </c:pt>
                <c:pt idx="169">
                  <c:v>6.8660749884924073</c:v>
                </c:pt>
                <c:pt idx="170">
                  <c:v>7.0380230195088842</c:v>
                </c:pt>
                <c:pt idx="171">
                  <c:v>7.0777991664861126</c:v>
                </c:pt>
                <c:pt idx="172">
                  <c:v>7.2768214481305167</c:v>
                </c:pt>
                <c:pt idx="173">
                  <c:v>7.5240643431531034</c:v>
                </c:pt>
                <c:pt idx="174">
                  <c:v>7.6594907091863416</c:v>
                </c:pt>
                <c:pt idx="175">
                  <c:v>7.7350708898613343</c:v>
                </c:pt>
                <c:pt idx="176">
                  <c:v>7.6322097153148203</c:v>
                </c:pt>
                <c:pt idx="177">
                  <c:v>7.8091602313417994</c:v>
                </c:pt>
                <c:pt idx="178">
                  <c:v>8.5163023381229301</c:v>
                </c:pt>
                <c:pt idx="179">
                  <c:v>8.6310784063998209</c:v>
                </c:pt>
                <c:pt idx="180">
                  <c:v>9.9285926263227626</c:v>
                </c:pt>
                <c:pt idx="181">
                  <c:v>10.053991216714415</c:v>
                </c:pt>
                <c:pt idx="182">
                  <c:v>10.18900594446138</c:v>
                </c:pt>
                <c:pt idx="183">
                  <c:v>10.190917906712892</c:v>
                </c:pt>
                <c:pt idx="184">
                  <c:v>10.427980068002311</c:v>
                </c:pt>
                <c:pt idx="185">
                  <c:v>10.634848714785166</c:v>
                </c:pt>
                <c:pt idx="186">
                  <c:v>10.814777168585227</c:v>
                </c:pt>
                <c:pt idx="187">
                  <c:v>11.007401498251669</c:v>
                </c:pt>
                <c:pt idx="188">
                  <c:v>10.915910080435049</c:v>
                </c:pt>
                <c:pt idx="189">
                  <c:v>10.930735119328046</c:v>
                </c:pt>
                <c:pt idx="190">
                  <c:v>11.29999814874356</c:v>
                </c:pt>
                <c:pt idx="191">
                  <c:v>11.447284445347782</c:v>
                </c:pt>
                <c:pt idx="192">
                  <c:v>11.965356022980025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A7-4586-93DE-FFD74F1F6CBC}"/>
            </c:ext>
          </c:extLst>
        </c:ser>
        <c:ser>
          <c:idx val="1"/>
          <c:order val="1"/>
          <c:tx>
            <c:strRef>
              <c:f>'G2.4A'!$C$3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'G2.4A'!$C$4:$C$500</c:f>
              <c:numCache>
                <c:formatCode>#,##0.0</c:formatCode>
                <c:ptCount val="497"/>
                <c:pt idx="0">
                  <c:v>8.9631763478519417</c:v>
                </c:pt>
                <c:pt idx="1">
                  <c:v>9.6000088356995334</c:v>
                </c:pt>
                <c:pt idx="2">
                  <c:v>10.74360778017668</c:v>
                </c:pt>
                <c:pt idx="3">
                  <c:v>10.269048695840917</c:v>
                </c:pt>
                <c:pt idx="4">
                  <c:v>9.7516645881180803</c:v>
                </c:pt>
                <c:pt idx="5">
                  <c:v>9.4196636007863717</c:v>
                </c:pt>
                <c:pt idx="6">
                  <c:v>9.2513568767435128</c:v>
                </c:pt>
                <c:pt idx="7">
                  <c:v>8.9648974033494824</c:v>
                </c:pt>
                <c:pt idx="8">
                  <c:v>8.8453910840828431</c:v>
                </c:pt>
                <c:pt idx="9">
                  <c:v>8.7203888563172853</c:v>
                </c:pt>
                <c:pt idx="10">
                  <c:v>8.8697115082202291</c:v>
                </c:pt>
                <c:pt idx="11">
                  <c:v>8.1086933529560454</c:v>
                </c:pt>
                <c:pt idx="12">
                  <c:v>8.1644455801338456</c:v>
                </c:pt>
                <c:pt idx="13">
                  <c:v>8.6902162828559675</c:v>
                </c:pt>
                <c:pt idx="14">
                  <c:v>8.993310994986766</c:v>
                </c:pt>
                <c:pt idx="15">
                  <c:v>8.7440542611706995</c:v>
                </c:pt>
                <c:pt idx="16">
                  <c:v>8.52302901483319</c:v>
                </c:pt>
                <c:pt idx="17">
                  <c:v>8.5562540795540709</c:v>
                </c:pt>
                <c:pt idx="18">
                  <c:v>7.7045945928933435</c:v>
                </c:pt>
                <c:pt idx="19">
                  <c:v>8.057183031070041</c:v>
                </c:pt>
                <c:pt idx="20">
                  <c:v>7.8958963309885011</c:v>
                </c:pt>
                <c:pt idx="21">
                  <c:v>7.7386840711644211</c:v>
                </c:pt>
                <c:pt idx="22">
                  <c:v>8.232721697911062</c:v>
                </c:pt>
                <c:pt idx="23">
                  <c:v>7.1286159109155953</c:v>
                </c:pt>
                <c:pt idx="24">
                  <c:v>7.3524352786634575</c:v>
                </c:pt>
                <c:pt idx="25">
                  <c:v>7.6949713782089324</c:v>
                </c:pt>
                <c:pt idx="26">
                  <c:v>7.5830617482238454</c:v>
                </c:pt>
                <c:pt idx="27">
                  <c:v>7.6767673902330387</c:v>
                </c:pt>
                <c:pt idx="28">
                  <c:v>7.7552696554719756</c:v>
                </c:pt>
                <c:pt idx="29">
                  <c:v>7.4539894022363589</c:v>
                </c:pt>
                <c:pt idx="30">
                  <c:v>7.3529414179029287</c:v>
                </c:pt>
                <c:pt idx="31">
                  <c:v>7.0583346292981757</c:v>
                </c:pt>
                <c:pt idx="32">
                  <c:v>6.7354108801842347</c:v>
                </c:pt>
                <c:pt idx="33">
                  <c:v>7.0229581210812544</c:v>
                </c:pt>
                <c:pt idx="34">
                  <c:v>6.8259263991465922</c:v>
                </c:pt>
                <c:pt idx="35">
                  <c:v>5.8205501069567305</c:v>
                </c:pt>
                <c:pt idx="36">
                  <c:v>6.1823746698690476</c:v>
                </c:pt>
                <c:pt idx="37">
                  <c:v>6.6159169728232587</c:v>
                </c:pt>
                <c:pt idx="38">
                  <c:v>7.0550268141545933</c:v>
                </c:pt>
                <c:pt idx="39">
                  <c:v>6.8169372721816659</c:v>
                </c:pt>
                <c:pt idx="40">
                  <c:v>6.9260463689418836</c:v>
                </c:pt>
                <c:pt idx="41">
                  <c:v>6.2912003135784405</c:v>
                </c:pt>
                <c:pt idx="42">
                  <c:v>6.5364677685307058</c:v>
                </c:pt>
                <c:pt idx="43">
                  <c:v>6.3622249713007406</c:v>
                </c:pt>
                <c:pt idx="44">
                  <c:v>6.2099491596968219</c:v>
                </c:pt>
                <c:pt idx="45">
                  <c:v>6.4631552334193429</c:v>
                </c:pt>
                <c:pt idx="46">
                  <c:v>6.4704459878713223</c:v>
                </c:pt>
                <c:pt idx="47">
                  <c:v>5.631105736268176</c:v>
                </c:pt>
                <c:pt idx="48">
                  <c:v>6.0573373254183451</c:v>
                </c:pt>
                <c:pt idx="49">
                  <c:v>6.3499466129407072</c:v>
                </c:pt>
                <c:pt idx="50">
                  <c:v>6.3703313253383893</c:v>
                </c:pt>
                <c:pt idx="51">
                  <c:v>6.7220519047200105</c:v>
                </c:pt>
                <c:pt idx="52">
                  <c:v>6.8963440675349981</c:v>
                </c:pt>
                <c:pt idx="53">
                  <c:v>6.7166750781728748</c:v>
                </c:pt>
                <c:pt idx="54">
                  <c:v>6.8709951700578653</c:v>
                </c:pt>
                <c:pt idx="55">
                  <c:v>6.6086462286927539</c:v>
                </c:pt>
                <c:pt idx="56">
                  <c:v>6.5432708496699341</c:v>
                </c:pt>
                <c:pt idx="57">
                  <c:v>6.8269920486390268</c:v>
                </c:pt>
                <c:pt idx="58">
                  <c:v>7.0073327811820398</c:v>
                </c:pt>
                <c:pt idx="59">
                  <c:v>6.6597009369612596</c:v>
                </c:pt>
                <c:pt idx="60">
                  <c:v>6.8148206820224662</c:v>
                </c:pt>
                <c:pt idx="61">
                  <c:v>7.2101947633096577</c:v>
                </c:pt>
                <c:pt idx="62">
                  <c:v>7.3307229454862295</c:v>
                </c:pt>
                <c:pt idx="63">
                  <c:v>7.4006290105784727</c:v>
                </c:pt>
                <c:pt idx="64">
                  <c:v>7.3913316486921854</c:v>
                </c:pt>
                <c:pt idx="65">
                  <c:v>7.8991774327002382</c:v>
                </c:pt>
                <c:pt idx="66">
                  <c:v>7.8955154037311779</c:v>
                </c:pt>
                <c:pt idx="67">
                  <c:v>7.8926649870026484</c:v>
                </c:pt>
                <c:pt idx="68">
                  <c:v>8.34428544381508</c:v>
                </c:pt>
                <c:pt idx="69">
                  <c:v>8.4957902439410073</c:v>
                </c:pt>
                <c:pt idx="70">
                  <c:v>8.740909747695774</c:v>
                </c:pt>
                <c:pt idx="71">
                  <c:v>8.5286350565282358</c:v>
                </c:pt>
                <c:pt idx="72">
                  <c:v>9.0459982179825325</c:v>
                </c:pt>
                <c:pt idx="73">
                  <c:v>9.7323798411594531</c:v>
                </c:pt>
                <c:pt idx="74">
                  <c:v>10.464103559567164</c:v>
                </c:pt>
                <c:pt idx="75">
                  <c:v>10.194139279328972</c:v>
                </c:pt>
                <c:pt idx="76">
                  <c:v>10.539641581634735</c:v>
                </c:pt>
                <c:pt idx="77">
                  <c:v>10.016756566355783</c:v>
                </c:pt>
                <c:pt idx="78">
                  <c:v>10.473637127117982</c:v>
                </c:pt>
                <c:pt idx="79">
                  <c:v>11.467941564983784</c:v>
                </c:pt>
                <c:pt idx="80">
                  <c:v>11.17745969442989</c:v>
                </c:pt>
                <c:pt idx="81">
                  <c:v>11.332704360640172</c:v>
                </c:pt>
                <c:pt idx="82">
                  <c:v>12.007381058903171</c:v>
                </c:pt>
                <c:pt idx="83">
                  <c:v>11.616679883795019</c:v>
                </c:pt>
                <c:pt idx="84">
                  <c:v>12.111842091243696</c:v>
                </c:pt>
                <c:pt idx="85">
                  <c:v>12.563321026941265</c:v>
                </c:pt>
                <c:pt idx="86">
                  <c:v>12.68353511064851</c:v>
                </c:pt>
                <c:pt idx="87">
                  <c:v>12.938518371328117</c:v>
                </c:pt>
                <c:pt idx="88">
                  <c:v>13.214562174771373</c:v>
                </c:pt>
                <c:pt idx="89">
                  <c:v>12.93079831106061</c:v>
                </c:pt>
                <c:pt idx="90">
                  <c:v>12.24453011697144</c:v>
                </c:pt>
                <c:pt idx="91">
                  <c:v>12.407077457131683</c:v>
                </c:pt>
                <c:pt idx="92">
                  <c:v>11.877773638783008</c:v>
                </c:pt>
                <c:pt idx="93">
                  <c:v>11.608593952541751</c:v>
                </c:pt>
                <c:pt idx="94">
                  <c:v>11.535471926123659</c:v>
                </c:pt>
                <c:pt idx="95">
                  <c:v>10.547992887570588</c:v>
                </c:pt>
                <c:pt idx="96">
                  <c:v>10.753253218126186</c:v>
                </c:pt>
                <c:pt idx="97">
                  <c:v>11.040318663608458</c:v>
                </c:pt>
                <c:pt idx="98">
                  <c:v>10.775295325918949</c:v>
                </c:pt>
                <c:pt idx="99">
                  <c:v>10.430806846130464</c:v>
                </c:pt>
                <c:pt idx="100">
                  <c:v>10.644658849483273</c:v>
                </c:pt>
                <c:pt idx="101">
                  <c:v>9.8167360522014828</c:v>
                </c:pt>
                <c:pt idx="102">
                  <c:v>9.4979484402780994</c:v>
                </c:pt>
                <c:pt idx="103">
                  <c:v>9.1396875067398771</c:v>
                </c:pt>
                <c:pt idx="104">
                  <c:v>8.7655262963993295</c:v>
                </c:pt>
                <c:pt idx="105">
                  <c:v>8.7837718459008567</c:v>
                </c:pt>
                <c:pt idx="106">
                  <c:v>8.4831263825992398</c:v>
                </c:pt>
                <c:pt idx="107">
                  <c:v>7.7937869059702418</c:v>
                </c:pt>
                <c:pt idx="108">
                  <c:v>7.8703974851237524</c:v>
                </c:pt>
                <c:pt idx="109">
                  <c:v>8.2112897034905181</c:v>
                </c:pt>
                <c:pt idx="110">
                  <c:v>8.084901433201205</c:v>
                </c:pt>
                <c:pt idx="111">
                  <c:v>8.0902676299311853</c:v>
                </c:pt>
                <c:pt idx="112">
                  <c:v>7.7407370274517797</c:v>
                </c:pt>
                <c:pt idx="113">
                  <c:v>7.4746015306516176</c:v>
                </c:pt>
                <c:pt idx="114">
                  <c:v>7.6288943753575804</c:v>
                </c:pt>
                <c:pt idx="115">
                  <c:v>7.5889921874985573</c:v>
                </c:pt>
                <c:pt idx="116">
                  <c:v>7.6275289916051783</c:v>
                </c:pt>
                <c:pt idx="117">
                  <c:v>7.6496862047663612</c:v>
                </c:pt>
                <c:pt idx="118">
                  <c:v>7.9347759313653281</c:v>
                </c:pt>
                <c:pt idx="119">
                  <c:v>7.226413665171914</c:v>
                </c:pt>
                <c:pt idx="120">
                  <c:v>7.502658331381407</c:v>
                </c:pt>
                <c:pt idx="121">
                  <c:v>7.8324480026747194</c:v>
                </c:pt>
                <c:pt idx="122">
                  <c:v>7.9674016312165179</c:v>
                </c:pt>
                <c:pt idx="123">
                  <c:v>8.0055410272938143</c:v>
                </c:pt>
                <c:pt idx="124">
                  <c:v>7.9553066081134718</c:v>
                </c:pt>
                <c:pt idx="125">
                  <c:v>7.9030365457780443</c:v>
                </c:pt>
                <c:pt idx="126">
                  <c:v>7.7453807115368098</c:v>
                </c:pt>
                <c:pt idx="127">
                  <c:v>7.8257358131797981</c:v>
                </c:pt>
                <c:pt idx="128">
                  <c:v>7.8408232337619559</c:v>
                </c:pt>
                <c:pt idx="129">
                  <c:v>7.8047349479002319</c:v>
                </c:pt>
                <c:pt idx="130">
                  <c:v>7.8130258695238517</c:v>
                </c:pt>
                <c:pt idx="131">
                  <c:v>7.5144698080238825</c:v>
                </c:pt>
                <c:pt idx="132">
                  <c:v>7.6204598699261528</c:v>
                </c:pt>
                <c:pt idx="133">
                  <c:v>7.9386973290220162</c:v>
                </c:pt>
                <c:pt idx="134">
                  <c:v>8.3290658937880142</c:v>
                </c:pt>
                <c:pt idx="135">
                  <c:v>8.1031986522744308</c:v>
                </c:pt>
                <c:pt idx="136">
                  <c:v>7.9275907692634044</c:v>
                </c:pt>
                <c:pt idx="137">
                  <c:v>7.9620992802300385</c:v>
                </c:pt>
                <c:pt idx="138">
                  <c:v>7.556002013216057</c:v>
                </c:pt>
                <c:pt idx="139">
                  <c:v>7.5786161573980131</c:v>
                </c:pt>
                <c:pt idx="140">
                  <c:v>7.539819964496381</c:v>
                </c:pt>
                <c:pt idx="141">
                  <c:v>7.4296110318647584</c:v>
                </c:pt>
                <c:pt idx="142">
                  <c:v>7.5171056782124142</c:v>
                </c:pt>
                <c:pt idx="143">
                  <c:v>7.0200569088335874</c:v>
                </c:pt>
                <c:pt idx="144">
                  <c:v>7.0546203505038179</c:v>
                </c:pt>
                <c:pt idx="145">
                  <c:v>7.2636791175186168</c:v>
                </c:pt>
                <c:pt idx="146">
                  <c:v>7.3936326681470748</c:v>
                </c:pt>
                <c:pt idx="147">
                  <c:v>7.3324351783563868</c:v>
                </c:pt>
                <c:pt idx="148">
                  <c:v>7.3273585948948616</c:v>
                </c:pt>
                <c:pt idx="149">
                  <c:v>7.4623414592060522</c:v>
                </c:pt>
                <c:pt idx="150">
                  <c:v>7.0257203161302408</c:v>
                </c:pt>
                <c:pt idx="151">
                  <c:v>7.2751838411977996</c:v>
                </c:pt>
                <c:pt idx="152">
                  <c:v>7.2226177080035248</c:v>
                </c:pt>
                <c:pt idx="153">
                  <c:v>7.0890517432796054</c:v>
                </c:pt>
                <c:pt idx="154">
                  <c:v>7.2219271250052843</c:v>
                </c:pt>
                <c:pt idx="155">
                  <c:v>6.8959602348392766</c:v>
                </c:pt>
                <c:pt idx="156">
                  <c:v>7.0152722555540556</c:v>
                </c:pt>
                <c:pt idx="157">
                  <c:v>7.2014548587220624</c:v>
                </c:pt>
                <c:pt idx="158">
                  <c:v>7.1900173055238801</c:v>
                </c:pt>
                <c:pt idx="159">
                  <c:v>7.3371681164572875</c:v>
                </c:pt>
                <c:pt idx="160">
                  <c:v>7.4860935289650534</c:v>
                </c:pt>
                <c:pt idx="161">
                  <c:v>7.4426507411970331</c:v>
                </c:pt>
                <c:pt idx="162">
                  <c:v>7.1424159532393912</c:v>
                </c:pt>
                <c:pt idx="163">
                  <c:v>7.1764590863902917</c:v>
                </c:pt>
                <c:pt idx="164">
                  <c:v>7.0914416592329479</c:v>
                </c:pt>
                <c:pt idx="165">
                  <c:v>7.1193339798086059</c:v>
                </c:pt>
                <c:pt idx="166">
                  <c:v>7.3099323490559751</c:v>
                </c:pt>
                <c:pt idx="167">
                  <c:v>7.0489684929229535</c:v>
                </c:pt>
                <c:pt idx="168">
                  <c:v>7.1377075313406957</c:v>
                </c:pt>
                <c:pt idx="169">
                  <c:v>7.4070205062512322</c:v>
                </c:pt>
                <c:pt idx="170">
                  <c:v>7.5618364699498697</c:v>
                </c:pt>
                <c:pt idx="171">
                  <c:v>7.5402830681051967</c:v>
                </c:pt>
                <c:pt idx="172">
                  <c:v>7.6992793576772112</c:v>
                </c:pt>
                <c:pt idx="173">
                  <c:v>7.6175102824749628</c:v>
                </c:pt>
                <c:pt idx="174">
                  <c:v>7.8160659910021275</c:v>
                </c:pt>
                <c:pt idx="175">
                  <c:v>7.7573149433696971</c:v>
                </c:pt>
                <c:pt idx="176">
                  <c:v>7.716826809589957</c:v>
                </c:pt>
                <c:pt idx="177">
                  <c:v>7.9008583893224973</c:v>
                </c:pt>
                <c:pt idx="178">
                  <c:v>8.05120258924814</c:v>
                </c:pt>
                <c:pt idx="179">
                  <c:v>7.7583858395003666</c:v>
                </c:pt>
                <c:pt idx="180">
                  <c:v>7.9182447627489951</c:v>
                </c:pt>
                <c:pt idx="181">
                  <c:v>8.2487615934411647</c:v>
                </c:pt>
                <c:pt idx="182">
                  <c:v>8.3382230273295441</c:v>
                </c:pt>
                <c:pt idx="183">
                  <c:v>8.7445166886376793</c:v>
                </c:pt>
                <c:pt idx="184">
                  <c:v>8.8702490955796467</c:v>
                </c:pt>
                <c:pt idx="185">
                  <c:v>8.92879221745644</c:v>
                </c:pt>
                <c:pt idx="186">
                  <c:v>8.9854580808323554</c:v>
                </c:pt>
                <c:pt idx="187">
                  <c:v>8.8976582801045989</c:v>
                </c:pt>
                <c:pt idx="188">
                  <c:v>8.9610371282628059</c:v>
                </c:pt>
                <c:pt idx="189">
                  <c:v>9.0282636183323977</c:v>
                </c:pt>
                <c:pt idx="190">
                  <c:v>9.1270077253757158</c:v>
                </c:pt>
                <c:pt idx="191">
                  <c:v>8.8728286506576293</c:v>
                </c:pt>
                <c:pt idx="192">
                  <c:v>9.0013862872759525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A7-4586-93DE-FFD74F1F6CBC}"/>
            </c:ext>
          </c:extLst>
        </c:ser>
        <c:ser>
          <c:idx val="2"/>
          <c:order val="2"/>
          <c:tx>
            <c:v>Vivienda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'G2.4A'!$D$4:$D$500</c:f>
              <c:numCache>
                <c:formatCode>#,##0.0</c:formatCode>
                <c:ptCount val="497"/>
                <c:pt idx="0">
                  <c:v>31.704825058452997</c:v>
                </c:pt>
                <c:pt idx="1">
                  <c:v>31.415357740214137</c:v>
                </c:pt>
                <c:pt idx="2">
                  <c:v>31.261079318581533</c:v>
                </c:pt>
                <c:pt idx="3">
                  <c:v>31.664753611315792</c:v>
                </c:pt>
                <c:pt idx="4">
                  <c:v>32.354628889038302</c:v>
                </c:pt>
                <c:pt idx="5">
                  <c:v>32.377135821545338</c:v>
                </c:pt>
                <c:pt idx="6">
                  <c:v>32.270095692613019</c:v>
                </c:pt>
                <c:pt idx="7">
                  <c:v>32.078827615766386</c:v>
                </c:pt>
                <c:pt idx="8">
                  <c:v>31.488644103988825</c:v>
                </c:pt>
                <c:pt idx="9">
                  <c:v>31.281786730434469</c:v>
                </c:pt>
                <c:pt idx="10">
                  <c:v>32.921333889109441</c:v>
                </c:pt>
                <c:pt idx="11">
                  <c:v>31.753758541135234</c:v>
                </c:pt>
                <c:pt idx="12">
                  <c:v>31.976306193978175</c:v>
                </c:pt>
                <c:pt idx="13">
                  <c:v>31.358748703233271</c:v>
                </c:pt>
                <c:pt idx="14">
                  <c:v>31.522335380887174</c:v>
                </c:pt>
                <c:pt idx="15">
                  <c:v>31.603072323838713</c:v>
                </c:pt>
                <c:pt idx="16">
                  <c:v>31.531198631396187</c:v>
                </c:pt>
                <c:pt idx="17">
                  <c:v>32.635109030734988</c:v>
                </c:pt>
                <c:pt idx="18">
                  <c:v>32.28534320363201</c:v>
                </c:pt>
                <c:pt idx="19">
                  <c:v>32.493989066821662</c:v>
                </c:pt>
                <c:pt idx="20">
                  <c:v>32.275161662732977</c:v>
                </c:pt>
                <c:pt idx="21">
                  <c:v>31.902068129275101</c:v>
                </c:pt>
                <c:pt idx="22">
                  <c:v>32.893549163757079</c:v>
                </c:pt>
                <c:pt idx="23">
                  <c:v>31.029039956322148</c:v>
                </c:pt>
                <c:pt idx="24">
                  <c:v>31.097295794423541</c:v>
                </c:pt>
                <c:pt idx="25">
                  <c:v>30.589664504671404</c:v>
                </c:pt>
                <c:pt idx="26">
                  <c:v>30.371058720423012</c:v>
                </c:pt>
                <c:pt idx="27">
                  <c:v>30.169200603484132</c:v>
                </c:pt>
                <c:pt idx="28">
                  <c:v>29.260770017423834</c:v>
                </c:pt>
                <c:pt idx="29">
                  <c:v>25.852621662367714</c:v>
                </c:pt>
                <c:pt idx="30">
                  <c:v>25.398931790454679</c:v>
                </c:pt>
                <c:pt idx="31">
                  <c:v>23.415282470603817</c:v>
                </c:pt>
                <c:pt idx="32">
                  <c:v>21.070713889459782</c:v>
                </c:pt>
                <c:pt idx="33">
                  <c:v>20.593468894074206</c:v>
                </c:pt>
                <c:pt idx="34">
                  <c:v>20.477236601346767</c:v>
                </c:pt>
                <c:pt idx="35">
                  <c:v>17.252427619090806</c:v>
                </c:pt>
                <c:pt idx="36">
                  <c:v>17.712165182536019</c:v>
                </c:pt>
                <c:pt idx="37">
                  <c:v>17.215203061010275</c:v>
                </c:pt>
                <c:pt idx="38">
                  <c:v>17.005225441940613</c:v>
                </c:pt>
                <c:pt idx="39">
                  <c:v>16.095586338372804</c:v>
                </c:pt>
                <c:pt idx="40">
                  <c:v>16.483843202147071</c:v>
                </c:pt>
                <c:pt idx="41">
                  <c:v>15.250430704396685</c:v>
                </c:pt>
                <c:pt idx="42">
                  <c:v>15.12692040887733</c:v>
                </c:pt>
                <c:pt idx="43">
                  <c:v>14.934010279980793</c:v>
                </c:pt>
                <c:pt idx="44">
                  <c:v>15.072161308260617</c:v>
                </c:pt>
                <c:pt idx="45">
                  <c:v>14.961197054897948</c:v>
                </c:pt>
                <c:pt idx="46">
                  <c:v>14.699466608801476</c:v>
                </c:pt>
                <c:pt idx="47">
                  <c:v>12.547688081691252</c:v>
                </c:pt>
                <c:pt idx="48">
                  <c:v>12.484262912271451</c:v>
                </c:pt>
                <c:pt idx="49">
                  <c:v>12.155788840160877</c:v>
                </c:pt>
                <c:pt idx="50">
                  <c:v>12.110191294071532</c:v>
                </c:pt>
                <c:pt idx="51">
                  <c:v>11.649803134342102</c:v>
                </c:pt>
                <c:pt idx="52">
                  <c:v>11.310532134366955</c:v>
                </c:pt>
                <c:pt idx="53">
                  <c:v>10.348378832419026</c:v>
                </c:pt>
                <c:pt idx="54">
                  <c:v>9.9149318287577977</c:v>
                </c:pt>
                <c:pt idx="55">
                  <c:v>9.5003079405356612</c:v>
                </c:pt>
                <c:pt idx="56">
                  <c:v>8.936559586760545</c:v>
                </c:pt>
                <c:pt idx="57">
                  <c:v>9.4295867837170864</c:v>
                </c:pt>
                <c:pt idx="58">
                  <c:v>9.4264743747353634</c:v>
                </c:pt>
                <c:pt idx="59">
                  <c:v>8.9590833319968439</c:v>
                </c:pt>
                <c:pt idx="60">
                  <c:v>8.8518409738502477</c:v>
                </c:pt>
                <c:pt idx="61">
                  <c:v>8.1996379044542564</c:v>
                </c:pt>
                <c:pt idx="62">
                  <c:v>8.0659085769606573</c:v>
                </c:pt>
                <c:pt idx="63">
                  <c:v>8.0409417052199679</c:v>
                </c:pt>
                <c:pt idx="64">
                  <c:v>8.0338808740296432</c:v>
                </c:pt>
                <c:pt idx="65">
                  <c:v>8.1860427165955851</c:v>
                </c:pt>
                <c:pt idx="66">
                  <c:v>8.2717975341909629</c:v>
                </c:pt>
                <c:pt idx="67">
                  <c:v>7.9559268323020715</c:v>
                </c:pt>
                <c:pt idx="68">
                  <c:v>7.823287085789234</c:v>
                </c:pt>
                <c:pt idx="69">
                  <c:v>7.7325664652764967</c:v>
                </c:pt>
                <c:pt idx="70">
                  <c:v>8.0445454242428376</c:v>
                </c:pt>
                <c:pt idx="71">
                  <c:v>7.6911588872296379</c:v>
                </c:pt>
                <c:pt idx="72">
                  <c:v>7.8144978618826331</c:v>
                </c:pt>
                <c:pt idx="73">
                  <c:v>7.5900630517881904</c:v>
                </c:pt>
                <c:pt idx="74">
                  <c:v>7.7465644640895421</c:v>
                </c:pt>
                <c:pt idx="75">
                  <c:v>7.6558994116131025</c:v>
                </c:pt>
                <c:pt idx="76">
                  <c:v>8.1157079642853454</c:v>
                </c:pt>
                <c:pt idx="77">
                  <c:v>7.8938519796271347</c:v>
                </c:pt>
                <c:pt idx="78">
                  <c:v>8.6910590341979113</c:v>
                </c:pt>
                <c:pt idx="79">
                  <c:v>8.2180998427265664</c:v>
                </c:pt>
                <c:pt idx="80">
                  <c:v>8.1544782507927405</c:v>
                </c:pt>
                <c:pt idx="81">
                  <c:v>8.1282733443560353</c:v>
                </c:pt>
                <c:pt idx="82">
                  <c:v>8.54733991782952</c:v>
                </c:pt>
                <c:pt idx="83">
                  <c:v>8.7667574820239746</c:v>
                </c:pt>
                <c:pt idx="84">
                  <c:v>9.1104230701261528</c:v>
                </c:pt>
                <c:pt idx="85">
                  <c:v>9.053848469016204</c:v>
                </c:pt>
                <c:pt idx="86">
                  <c:v>9.5606288066048553</c:v>
                </c:pt>
                <c:pt idx="87">
                  <c:v>9.3464058508135661</c:v>
                </c:pt>
                <c:pt idx="88">
                  <c:v>10.123201870198285</c:v>
                </c:pt>
                <c:pt idx="89">
                  <c:v>10.047237792897587</c:v>
                </c:pt>
                <c:pt idx="90">
                  <c:v>9.454316600401274</c:v>
                </c:pt>
                <c:pt idx="91">
                  <c:v>9.7641865209631611</c:v>
                </c:pt>
                <c:pt idx="92">
                  <c:v>9.1948762802918633</c:v>
                </c:pt>
                <c:pt idx="93">
                  <c:v>9.0660618808159104</c:v>
                </c:pt>
                <c:pt idx="94">
                  <c:v>8.7221740508973049</c:v>
                </c:pt>
                <c:pt idx="95">
                  <c:v>8.0672757645979196</c:v>
                </c:pt>
                <c:pt idx="96">
                  <c:v>7.919406431914271</c:v>
                </c:pt>
                <c:pt idx="97">
                  <c:v>7.6849682556398573</c:v>
                </c:pt>
                <c:pt idx="98">
                  <c:v>7.5256433093923025</c:v>
                </c:pt>
                <c:pt idx="99">
                  <c:v>7.6203021001507238</c:v>
                </c:pt>
                <c:pt idx="100">
                  <c:v>7.913972573678608</c:v>
                </c:pt>
                <c:pt idx="101">
                  <c:v>7.6974159775177311</c:v>
                </c:pt>
                <c:pt idx="102">
                  <c:v>7.8618996121891493</c:v>
                </c:pt>
                <c:pt idx="103">
                  <c:v>7.4898839311391407</c:v>
                </c:pt>
                <c:pt idx="104">
                  <c:v>7.0350936168749554</c:v>
                </c:pt>
                <c:pt idx="105">
                  <c:v>7.1562103119691542</c:v>
                </c:pt>
                <c:pt idx="106">
                  <c:v>6.8708318892364204</c:v>
                </c:pt>
                <c:pt idx="107">
                  <c:v>8.202400535215121</c:v>
                </c:pt>
                <c:pt idx="108">
                  <c:v>7.847215258610631</c:v>
                </c:pt>
                <c:pt idx="109">
                  <c:v>7.4285277259504969</c:v>
                </c:pt>
                <c:pt idx="110">
                  <c:v>7.1963522700912845</c:v>
                </c:pt>
                <c:pt idx="111">
                  <c:v>7.0356463079737166</c:v>
                </c:pt>
                <c:pt idx="112">
                  <c:v>6.9786376479650096</c:v>
                </c:pt>
                <c:pt idx="113">
                  <c:v>6.3567104962168504</c:v>
                </c:pt>
                <c:pt idx="114">
                  <c:v>6.2689205311646123</c:v>
                </c:pt>
                <c:pt idx="115">
                  <c:v>5.9634251707885939</c:v>
                </c:pt>
                <c:pt idx="116">
                  <c:v>5.6911546830785085</c:v>
                </c:pt>
                <c:pt idx="117">
                  <c:v>5.771605106838277</c:v>
                </c:pt>
                <c:pt idx="118">
                  <c:v>5.7509130178600945</c:v>
                </c:pt>
                <c:pt idx="119">
                  <c:v>5.3700171323049037</c:v>
                </c:pt>
                <c:pt idx="120">
                  <c:v>5.4867549742410731</c:v>
                </c:pt>
                <c:pt idx="121">
                  <c:v>5.3828550303623128</c:v>
                </c:pt>
                <c:pt idx="122">
                  <c:v>5.3496160586131074</c:v>
                </c:pt>
                <c:pt idx="123">
                  <c:v>5.2475662899855617</c:v>
                </c:pt>
                <c:pt idx="124">
                  <c:v>5.2528318850353513</c:v>
                </c:pt>
                <c:pt idx="125">
                  <c:v>5.1769628266939467</c:v>
                </c:pt>
                <c:pt idx="126">
                  <c:v>5.2298752983467631</c:v>
                </c:pt>
                <c:pt idx="127">
                  <c:v>5.1276976094291173</c:v>
                </c:pt>
                <c:pt idx="128">
                  <c:v>5.0800866738583244</c:v>
                </c:pt>
                <c:pt idx="129">
                  <c:v>5.103749637770238</c:v>
                </c:pt>
                <c:pt idx="130">
                  <c:v>4.8823726042224491</c:v>
                </c:pt>
                <c:pt idx="131">
                  <c:v>5.0478370209097179</c:v>
                </c:pt>
                <c:pt idx="132">
                  <c:v>5.1052081423133586</c:v>
                </c:pt>
                <c:pt idx="133">
                  <c:v>4.8946343173201523</c:v>
                </c:pt>
                <c:pt idx="134">
                  <c:v>4.9997685322812684</c:v>
                </c:pt>
                <c:pt idx="135">
                  <c:v>5.0432006980725044</c:v>
                </c:pt>
                <c:pt idx="136">
                  <c:v>4.860757054915239</c:v>
                </c:pt>
                <c:pt idx="137">
                  <c:v>4.8563061529552813</c:v>
                </c:pt>
                <c:pt idx="138">
                  <c:v>4.7120496516118893</c:v>
                </c:pt>
                <c:pt idx="139">
                  <c:v>4.5996039063941359</c:v>
                </c:pt>
                <c:pt idx="140">
                  <c:v>4.499001250742249</c:v>
                </c:pt>
                <c:pt idx="141">
                  <c:v>4.4028945879968031</c:v>
                </c:pt>
                <c:pt idx="142">
                  <c:v>4.2973502166221529</c:v>
                </c:pt>
                <c:pt idx="143">
                  <c:v>4.1538741777679773</c:v>
                </c:pt>
                <c:pt idx="144">
                  <c:v>4.1156585655860658</c:v>
                </c:pt>
                <c:pt idx="145">
                  <c:v>4.0101355834835033</c:v>
                </c:pt>
                <c:pt idx="146">
                  <c:v>4.086528055520148</c:v>
                </c:pt>
                <c:pt idx="147">
                  <c:v>4.1371380644116282</c:v>
                </c:pt>
                <c:pt idx="148">
                  <c:v>4.1659938327057091</c:v>
                </c:pt>
                <c:pt idx="149">
                  <c:v>4.2290458566331095</c:v>
                </c:pt>
                <c:pt idx="150">
                  <c:v>4.1281475696187302</c:v>
                </c:pt>
                <c:pt idx="151">
                  <c:v>4.2265707608917822</c:v>
                </c:pt>
                <c:pt idx="152">
                  <c:v>4.22215274985661</c:v>
                </c:pt>
                <c:pt idx="153">
                  <c:v>4.1809833410657911</c:v>
                </c:pt>
                <c:pt idx="154">
                  <c:v>4.3383910208911116</c:v>
                </c:pt>
                <c:pt idx="155">
                  <c:v>4.199970752333952</c:v>
                </c:pt>
                <c:pt idx="156">
                  <c:v>3.7293885334201362</c:v>
                </c:pt>
                <c:pt idx="157">
                  <c:v>3.597208931273749</c:v>
                </c:pt>
                <c:pt idx="158">
                  <c:v>3.5231705463679921</c:v>
                </c:pt>
                <c:pt idx="159">
                  <c:v>3.4994595073112222</c:v>
                </c:pt>
                <c:pt idx="160">
                  <c:v>3.7047159461889194</c:v>
                </c:pt>
                <c:pt idx="161">
                  <c:v>3.7865049308901133</c:v>
                </c:pt>
                <c:pt idx="162">
                  <c:v>3.6401779713665832</c:v>
                </c:pt>
                <c:pt idx="163">
                  <c:v>3.7025843373024974</c:v>
                </c:pt>
                <c:pt idx="164">
                  <c:v>3.6911143310236318</c:v>
                </c:pt>
                <c:pt idx="165">
                  <c:v>3.7161898585733919</c:v>
                </c:pt>
                <c:pt idx="166">
                  <c:v>3.7449640570042395</c:v>
                </c:pt>
                <c:pt idx="167">
                  <c:v>3.610434097903402</c:v>
                </c:pt>
                <c:pt idx="168">
                  <c:v>3.7560611488681266</c:v>
                </c:pt>
                <c:pt idx="169">
                  <c:v>3.669250716017173</c:v>
                </c:pt>
                <c:pt idx="170">
                  <c:v>3.7194209102280724</c:v>
                </c:pt>
                <c:pt idx="171">
                  <c:v>3.7825233699574667</c:v>
                </c:pt>
                <c:pt idx="172">
                  <c:v>3.921621375055202</c:v>
                </c:pt>
                <c:pt idx="173">
                  <c:v>3.8620625069751138</c:v>
                </c:pt>
                <c:pt idx="174">
                  <c:v>4.0084251240371227</c:v>
                </c:pt>
                <c:pt idx="175">
                  <c:v>4.0015758124466947</c:v>
                </c:pt>
                <c:pt idx="176">
                  <c:v>4.0199516668234869</c:v>
                </c:pt>
                <c:pt idx="177">
                  <c:v>4.154955823428617</c:v>
                </c:pt>
                <c:pt idx="178">
                  <c:v>4.2606208336324753</c:v>
                </c:pt>
                <c:pt idx="179">
                  <c:v>4.0966691009068548</c:v>
                </c:pt>
                <c:pt idx="180">
                  <c:v>4.2801141640781051</c:v>
                </c:pt>
                <c:pt idx="181">
                  <c:v>4.2605523605334774</c:v>
                </c:pt>
                <c:pt idx="182">
                  <c:v>4.2655032764662968</c:v>
                </c:pt>
                <c:pt idx="183">
                  <c:v>4.5592637980822897</c:v>
                </c:pt>
                <c:pt idx="184">
                  <c:v>4.8147160715676112</c:v>
                </c:pt>
                <c:pt idx="185">
                  <c:v>4.8577796249472804</c:v>
                </c:pt>
                <c:pt idx="186">
                  <c:v>5.1110138803134886</c:v>
                </c:pt>
                <c:pt idx="187">
                  <c:v>5.1440050827938615</c:v>
                </c:pt>
                <c:pt idx="188">
                  <c:v>5.2447725350709611</c:v>
                </c:pt>
                <c:pt idx="189">
                  <c:v>5.3755088601728032</c:v>
                </c:pt>
                <c:pt idx="190">
                  <c:v>5.4532603438314293</c:v>
                </c:pt>
                <c:pt idx="191">
                  <c:v>5.3783484196166862</c:v>
                </c:pt>
                <c:pt idx="192">
                  <c:v>5.5961844156870182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A7-4586-93DE-FFD74F1F6CBC}"/>
            </c:ext>
          </c:extLst>
        </c:ser>
        <c:ser>
          <c:idx val="3"/>
          <c:order val="3"/>
          <c:tx>
            <c:strRef>
              <c:f>'G2.4A'!$E$3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'G2.4A'!$E$4:$E$500</c:f>
              <c:numCache>
                <c:formatCode>#,##0.0</c:formatCode>
                <c:ptCount val="497"/>
                <c:pt idx="0">
                  <c:v>8.2111798074526874</c:v>
                </c:pt>
                <c:pt idx="1">
                  <c:v>8.6783682519114009</c:v>
                </c:pt>
                <c:pt idx="2">
                  <c:v>8.5719824304176431</c:v>
                </c:pt>
                <c:pt idx="3">
                  <c:v>8.1863249512412821</c:v>
                </c:pt>
                <c:pt idx="4">
                  <c:v>8.2309069641436992</c:v>
                </c:pt>
                <c:pt idx="5">
                  <c:v>8.3771534503772749</c:v>
                </c:pt>
                <c:pt idx="6">
                  <c:v>8.8402447555960268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10.499943689991083</c:v>
                </c:pt>
                <c:pt idx="10">
                  <c:v>10.325578882824937</c:v>
                </c:pt>
                <c:pt idx="11">
                  <c:v>8.874783672074555</c:v>
                </c:pt>
                <c:pt idx="12">
                  <c:v>8.8279857002699735</c:v>
                </c:pt>
                <c:pt idx="13">
                  <c:v>8.865842906848572</c:v>
                </c:pt>
                <c:pt idx="14">
                  <c:v>8.342442905376517</c:v>
                </c:pt>
                <c:pt idx="15">
                  <c:v>8.2808409671714429</c:v>
                </c:pt>
                <c:pt idx="16">
                  <c:v>7.8985874576364656</c:v>
                </c:pt>
                <c:pt idx="17">
                  <c:v>7.8088967788086885</c:v>
                </c:pt>
                <c:pt idx="18">
                  <c:v>7.1942212505222889</c:v>
                </c:pt>
                <c:pt idx="19">
                  <c:v>7.1183477698288922</c:v>
                </c:pt>
                <c:pt idx="20">
                  <c:v>6.4631464078096537</c:v>
                </c:pt>
                <c:pt idx="21">
                  <c:v>6.465411435201875</c:v>
                </c:pt>
                <c:pt idx="22">
                  <c:v>6.6420991994260303</c:v>
                </c:pt>
                <c:pt idx="23">
                  <c:v>6.3780222046206028</c:v>
                </c:pt>
                <c:pt idx="24">
                  <c:v>6.5937211425421465</c:v>
                </c:pt>
                <c:pt idx="25">
                  <c:v>6.6024110377028835</c:v>
                </c:pt>
                <c:pt idx="26">
                  <c:v>7.0194682866158313</c:v>
                </c:pt>
                <c:pt idx="27">
                  <c:v>7.6022020273769115</c:v>
                </c:pt>
                <c:pt idx="28">
                  <c:v>7.9947679387011892</c:v>
                </c:pt>
                <c:pt idx="29">
                  <c:v>8.1264347321583497</c:v>
                </c:pt>
                <c:pt idx="30">
                  <c:v>7.5104553152366593</c:v>
                </c:pt>
                <c:pt idx="31">
                  <c:v>6.9629220031759465</c:v>
                </c:pt>
                <c:pt idx="32">
                  <c:v>6.7741383739684107</c:v>
                </c:pt>
                <c:pt idx="33">
                  <c:v>6.7236577669724911</c:v>
                </c:pt>
                <c:pt idx="34">
                  <c:v>7.5575334126386036</c:v>
                </c:pt>
                <c:pt idx="35">
                  <c:v>6.8852487688272275</c:v>
                </c:pt>
                <c:pt idx="36">
                  <c:v>7.3611919774241761</c:v>
                </c:pt>
                <c:pt idx="37">
                  <c:v>7.1633459220169815</c:v>
                </c:pt>
                <c:pt idx="38">
                  <c:v>7.0595331769318097</c:v>
                </c:pt>
                <c:pt idx="39">
                  <c:v>6.7131437776609859</c:v>
                </c:pt>
                <c:pt idx="40">
                  <c:v>6.6008533422898807</c:v>
                </c:pt>
                <c:pt idx="41">
                  <c:v>6.2847640822205868</c:v>
                </c:pt>
                <c:pt idx="42">
                  <c:v>6.4486094650897918</c:v>
                </c:pt>
                <c:pt idx="43">
                  <c:v>6.1438767369470666</c:v>
                </c:pt>
                <c:pt idx="44">
                  <c:v>6.12462487786817</c:v>
                </c:pt>
                <c:pt idx="45">
                  <c:v>5.4887941576235955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6.4202232168142892</c:v>
                </c:pt>
                <c:pt idx="49">
                  <c:v>6.0337941684741674</c:v>
                </c:pt>
                <c:pt idx="50">
                  <c:v>6.2555848228379523</c:v>
                </c:pt>
                <c:pt idx="51">
                  <c:v>6.2811759477580456</c:v>
                </c:pt>
                <c:pt idx="52">
                  <c:v>6.2418397268997587</c:v>
                </c:pt>
                <c:pt idx="53">
                  <c:v>6.1349522699474601</c:v>
                </c:pt>
                <c:pt idx="54">
                  <c:v>6.2426190625434117</c:v>
                </c:pt>
                <c:pt idx="55">
                  <c:v>6.0827140452662727</c:v>
                </c:pt>
                <c:pt idx="56">
                  <c:v>6.19112564900741</c:v>
                </c:pt>
                <c:pt idx="57">
                  <c:v>6.0933452518051467</c:v>
                </c:pt>
                <c:pt idx="58">
                  <c:v>6.0811370872643344</c:v>
                </c:pt>
                <c:pt idx="59">
                  <c:v>6.2451821557240015</c:v>
                </c:pt>
                <c:pt idx="60">
                  <c:v>6.4346659368347563</c:v>
                </c:pt>
                <c:pt idx="61">
                  <c:v>6.6244608409385517</c:v>
                </c:pt>
                <c:pt idx="62">
                  <c:v>6.8563492768133276</c:v>
                </c:pt>
                <c:pt idx="63">
                  <c:v>6.8186953041073357</c:v>
                </c:pt>
                <c:pt idx="64">
                  <c:v>6.8353854517102732</c:v>
                </c:pt>
                <c:pt idx="65">
                  <c:v>7.0717883248988187</c:v>
                </c:pt>
                <c:pt idx="66">
                  <c:v>7.3511632408434675</c:v>
                </c:pt>
                <c:pt idx="67">
                  <c:v>7.2251801629079528</c:v>
                </c:pt>
                <c:pt idx="68">
                  <c:v>7.6965268391808248</c:v>
                </c:pt>
                <c:pt idx="69">
                  <c:v>7.6979618380021666</c:v>
                </c:pt>
                <c:pt idx="70">
                  <c:v>7.8378920003605241</c:v>
                </c:pt>
                <c:pt idx="71">
                  <c:v>7.6652139653355471</c:v>
                </c:pt>
                <c:pt idx="72">
                  <c:v>8.1021983447149655</c:v>
                </c:pt>
                <c:pt idx="73">
                  <c:v>8.1199044498087396</c:v>
                </c:pt>
                <c:pt idx="74">
                  <c:v>8.753271388480675</c:v>
                </c:pt>
                <c:pt idx="75">
                  <c:v>8.8183983095864384</c:v>
                </c:pt>
                <c:pt idx="76">
                  <c:v>8.7016122980923889</c:v>
                </c:pt>
                <c:pt idx="77">
                  <c:v>8.4655182779950664</c:v>
                </c:pt>
                <c:pt idx="78">
                  <c:v>8.0518987293234794</c:v>
                </c:pt>
                <c:pt idx="79">
                  <c:v>8.4237112883819556</c:v>
                </c:pt>
                <c:pt idx="80">
                  <c:v>8.5020893975915541</c:v>
                </c:pt>
                <c:pt idx="81">
                  <c:v>7.9951794227510948</c:v>
                </c:pt>
                <c:pt idx="82">
                  <c:v>8.187625495495519</c:v>
                </c:pt>
                <c:pt idx="83">
                  <c:v>7.451512131203117</c:v>
                </c:pt>
                <c:pt idx="84">
                  <c:v>7.9607145502587944</c:v>
                </c:pt>
                <c:pt idx="85">
                  <c:v>8.2573403215852359</c:v>
                </c:pt>
                <c:pt idx="86">
                  <c:v>8.1525750333747116</c:v>
                </c:pt>
                <c:pt idx="87">
                  <c:v>8.4669550867517422</c:v>
                </c:pt>
                <c:pt idx="88">
                  <c:v>8.6930380647754717</c:v>
                </c:pt>
                <c:pt idx="89">
                  <c:v>8.6961102206959637</c:v>
                </c:pt>
                <c:pt idx="90">
                  <c:v>8.2759008864293087</c:v>
                </c:pt>
                <c:pt idx="91">
                  <c:v>8.5094384666912077</c:v>
                </c:pt>
                <c:pt idx="92">
                  <c:v>8.4040552916550268</c:v>
                </c:pt>
                <c:pt idx="93">
                  <c:v>8.4025700827501986</c:v>
                </c:pt>
                <c:pt idx="94">
                  <c:v>7.8009773108072897</c:v>
                </c:pt>
                <c:pt idx="95">
                  <c:v>7.6872406175538082</c:v>
                </c:pt>
                <c:pt idx="96">
                  <c:v>8.1802701969349378</c:v>
                </c:pt>
                <c:pt idx="97">
                  <c:v>8.5010874759927937</c:v>
                </c:pt>
                <c:pt idx="98">
                  <c:v>8.4616052646812836</c:v>
                </c:pt>
                <c:pt idx="99">
                  <c:v>9.0876767160491667</c:v>
                </c:pt>
                <c:pt idx="100">
                  <c:v>8.957580161330629</c:v>
                </c:pt>
                <c:pt idx="101">
                  <c:v>8.7327947517789823</c:v>
                </c:pt>
                <c:pt idx="102">
                  <c:v>8.6505919740246782</c:v>
                </c:pt>
                <c:pt idx="103">
                  <c:v>8.3658144693238938</c:v>
                </c:pt>
                <c:pt idx="104">
                  <c:v>8.1483039274665288</c:v>
                </c:pt>
                <c:pt idx="105">
                  <c:v>7.9432182580309556</c:v>
                </c:pt>
                <c:pt idx="106">
                  <c:v>7.7767549222137848</c:v>
                </c:pt>
                <c:pt idx="107">
                  <c:v>7.2056865070215164</c:v>
                </c:pt>
                <c:pt idx="108">
                  <c:v>7.3344555230146842</c:v>
                </c:pt>
                <c:pt idx="109">
                  <c:v>7.2105981410178615</c:v>
                </c:pt>
                <c:pt idx="110">
                  <c:v>7.1862777285767869</c:v>
                </c:pt>
                <c:pt idx="111">
                  <c:v>7.4394070676273181</c:v>
                </c:pt>
                <c:pt idx="112">
                  <c:v>7.3587342273462886</c:v>
                </c:pt>
                <c:pt idx="113">
                  <c:v>7.4175942105925738</c:v>
                </c:pt>
                <c:pt idx="114">
                  <c:v>7.8566712987973739</c:v>
                </c:pt>
                <c:pt idx="115">
                  <c:v>7.6090635315364663</c:v>
                </c:pt>
                <c:pt idx="116">
                  <c:v>7.3088122866517899</c:v>
                </c:pt>
                <c:pt idx="117">
                  <c:v>7.2873055613228841</c:v>
                </c:pt>
                <c:pt idx="118">
                  <c:v>7.3348902338604871</c:v>
                </c:pt>
                <c:pt idx="119">
                  <c:v>6.9028287879228003</c:v>
                </c:pt>
                <c:pt idx="120">
                  <c:v>6.9815287469030451</c:v>
                </c:pt>
                <c:pt idx="121">
                  <c:v>7.1519254833771928</c:v>
                </c:pt>
                <c:pt idx="122">
                  <c:v>7.2184014451509944</c:v>
                </c:pt>
                <c:pt idx="123">
                  <c:v>6.6580850524415904</c:v>
                </c:pt>
                <c:pt idx="124">
                  <c:v>6.7263672496372413</c:v>
                </c:pt>
                <c:pt idx="125">
                  <c:v>7.0279008057375396</c:v>
                </c:pt>
                <c:pt idx="126">
                  <c:v>7.0798190481916379</c:v>
                </c:pt>
                <c:pt idx="127">
                  <c:v>7.1069055026297194</c:v>
                </c:pt>
                <c:pt idx="128">
                  <c:v>7.1886707752738763</c:v>
                </c:pt>
                <c:pt idx="129">
                  <c:v>7.4983240693102031</c:v>
                </c:pt>
                <c:pt idx="130">
                  <c:v>7.6281464993444033</c:v>
                </c:pt>
                <c:pt idx="131">
                  <c:v>7.8332845581821369</c:v>
                </c:pt>
                <c:pt idx="132">
                  <c:v>8.0475733089637274</c:v>
                </c:pt>
                <c:pt idx="133">
                  <c:v>8.1691410018893134</c:v>
                </c:pt>
                <c:pt idx="134">
                  <c:v>8.5172894597588584</c:v>
                </c:pt>
                <c:pt idx="135">
                  <c:v>8.5608557349816614</c:v>
                </c:pt>
                <c:pt idx="136">
                  <c:v>8.5480107200999669</c:v>
                </c:pt>
                <c:pt idx="137">
                  <c:v>9.3031286097529584</c:v>
                </c:pt>
                <c:pt idx="138">
                  <c:v>9.3297931393521178</c:v>
                </c:pt>
                <c:pt idx="139">
                  <c:v>9.6293482144888944</c:v>
                </c:pt>
                <c:pt idx="140">
                  <c:v>9.7991715513977464</c:v>
                </c:pt>
                <c:pt idx="141">
                  <c:v>9.8049621992900438</c:v>
                </c:pt>
                <c:pt idx="142">
                  <c:v>9.7985221766851041</c:v>
                </c:pt>
                <c:pt idx="143">
                  <c:v>10.803566654508872</c:v>
                </c:pt>
                <c:pt idx="144">
                  <c:v>11.31944847556723</c:v>
                </c:pt>
                <c:pt idx="145">
                  <c:v>11.513367733929968</c:v>
                </c:pt>
                <c:pt idx="146">
                  <c:v>11.367659417019377</c:v>
                </c:pt>
                <c:pt idx="147">
                  <c:v>11.40825709050311</c:v>
                </c:pt>
                <c:pt idx="148">
                  <c:v>11.415549225611047</c:v>
                </c:pt>
                <c:pt idx="149">
                  <c:v>12.309582167542956</c:v>
                </c:pt>
                <c:pt idx="150">
                  <c:v>12.042027399708962</c:v>
                </c:pt>
                <c:pt idx="151">
                  <c:v>12.053878079846394</c:v>
                </c:pt>
                <c:pt idx="152">
                  <c:v>12.230299205410839</c:v>
                </c:pt>
                <c:pt idx="153">
                  <c:v>12.237142900165379</c:v>
                </c:pt>
                <c:pt idx="154">
                  <c:v>12.338939704284311</c:v>
                </c:pt>
                <c:pt idx="155">
                  <c:v>11.939780450501441</c:v>
                </c:pt>
                <c:pt idx="156">
                  <c:v>11.84311227918209</c:v>
                </c:pt>
                <c:pt idx="157">
                  <c:v>10.742694388995735</c:v>
                </c:pt>
                <c:pt idx="158">
                  <c:v>10.809100425102296</c:v>
                </c:pt>
                <c:pt idx="159">
                  <c:v>10.484713740390658</c:v>
                </c:pt>
                <c:pt idx="160">
                  <c:v>10.174696730494482</c:v>
                </c:pt>
                <c:pt idx="161">
                  <c:v>10.706336549626357</c:v>
                </c:pt>
                <c:pt idx="162">
                  <c:v>10.66912060065931</c:v>
                </c:pt>
                <c:pt idx="163">
                  <c:v>10.592682775804906</c:v>
                </c:pt>
                <c:pt idx="164">
                  <c:v>10.443789779515312</c:v>
                </c:pt>
                <c:pt idx="165">
                  <c:v>10.403895609659839</c:v>
                </c:pt>
                <c:pt idx="166">
                  <c:v>10.510103160282686</c:v>
                </c:pt>
                <c:pt idx="167">
                  <c:v>10.608892512377441</c:v>
                </c:pt>
                <c:pt idx="168">
                  <c:v>10.830764461706682</c:v>
                </c:pt>
                <c:pt idx="169">
                  <c:v>10.806359757518106</c:v>
                </c:pt>
                <c:pt idx="170">
                  <c:v>10.836268035857179</c:v>
                </c:pt>
                <c:pt idx="171">
                  <c:v>10.832929125674937</c:v>
                </c:pt>
                <c:pt idx="172">
                  <c:v>10.934294946514962</c:v>
                </c:pt>
                <c:pt idx="173">
                  <c:v>11.365765348049406</c:v>
                </c:pt>
                <c:pt idx="174">
                  <c:v>11.354795580091331</c:v>
                </c:pt>
                <c:pt idx="175">
                  <c:v>11.213645730223005</c:v>
                </c:pt>
                <c:pt idx="176">
                  <c:v>10.873459911932128</c:v>
                </c:pt>
                <c:pt idx="177">
                  <c:v>11.082293754998238</c:v>
                </c:pt>
                <c:pt idx="178">
                  <c:v>11.22189774663685</c:v>
                </c:pt>
                <c:pt idx="179">
                  <c:v>11.764791920618736</c:v>
                </c:pt>
                <c:pt idx="180">
                  <c:v>11.927458705724144</c:v>
                </c:pt>
                <c:pt idx="181">
                  <c:v>11.957453277570227</c:v>
                </c:pt>
                <c:pt idx="182">
                  <c:v>11.64195988385889</c:v>
                </c:pt>
                <c:pt idx="183">
                  <c:v>11.915086306438997</c:v>
                </c:pt>
                <c:pt idx="184">
                  <c:v>11.898594206194923</c:v>
                </c:pt>
                <c:pt idx="185">
                  <c:v>12.037671801940448</c:v>
                </c:pt>
                <c:pt idx="186">
                  <c:v>11.832329797157305</c:v>
                </c:pt>
                <c:pt idx="187">
                  <c:v>11.707825434494771</c:v>
                </c:pt>
                <c:pt idx="188">
                  <c:v>11.635729533759605</c:v>
                </c:pt>
                <c:pt idx="189">
                  <c:v>11.467524389352464</c:v>
                </c:pt>
                <c:pt idx="190">
                  <c:v>11.573756378899118</c:v>
                </c:pt>
                <c:pt idx="191">
                  <c:v>12.134979537181781</c:v>
                </c:pt>
                <c:pt idx="192">
                  <c:v>12.316064727961191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CA7-4586-93DE-FFD74F1F6CBC}"/>
            </c:ext>
          </c:extLst>
        </c:ser>
        <c:ser>
          <c:idx val="7"/>
          <c:order val="4"/>
          <c:tx>
            <c:strRef>
              <c:f>'G2.4A'!$F$3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'G2.4A'!$F$4:$F$500</c:f>
              <c:numCache>
                <c:formatCode>#,##0.0</c:formatCode>
                <c:ptCount val="497"/>
                <c:pt idx="0">
                  <c:v>25.463566531367356</c:v>
                </c:pt>
                <c:pt idx="1">
                  <c:v>25.703165082690937</c:v>
                </c:pt>
                <c:pt idx="2">
                  <c:v>26.207534490735121</c:v>
                </c:pt>
                <c:pt idx="3">
                  <c:v>25.967020893470647</c:v>
                </c:pt>
                <c:pt idx="4">
                  <c:v>25.41300805753605</c:v>
                </c:pt>
                <c:pt idx="5">
                  <c:v>24.51364853729627</c:v>
                </c:pt>
                <c:pt idx="6">
                  <c:v>24.081181326934104</c:v>
                </c:pt>
                <c:pt idx="7">
                  <c:v>23.72464570947561</c:v>
                </c:pt>
                <c:pt idx="8">
                  <c:v>22.221537170678005</c:v>
                </c:pt>
                <c:pt idx="9">
                  <c:v>22.223424839699316</c:v>
                </c:pt>
                <c:pt idx="10">
                  <c:v>21.997103379189774</c:v>
                </c:pt>
                <c:pt idx="11">
                  <c:v>21.304589030173915</c:v>
                </c:pt>
                <c:pt idx="12">
                  <c:v>21.322954623658251</c:v>
                </c:pt>
                <c:pt idx="13">
                  <c:v>20.643882334991886</c:v>
                </c:pt>
                <c:pt idx="14">
                  <c:v>20.464957830751167</c:v>
                </c:pt>
                <c:pt idx="15">
                  <c:v>19.781265866676577</c:v>
                </c:pt>
                <c:pt idx="16">
                  <c:v>19.406894178305812</c:v>
                </c:pt>
                <c:pt idx="17">
                  <c:v>19.151310782121836</c:v>
                </c:pt>
                <c:pt idx="18">
                  <c:v>18.286638003032728</c:v>
                </c:pt>
                <c:pt idx="19">
                  <c:v>18.33338771004631</c:v>
                </c:pt>
                <c:pt idx="20">
                  <c:v>17.812632936097028</c:v>
                </c:pt>
                <c:pt idx="21">
                  <c:v>17.294284765879635</c:v>
                </c:pt>
                <c:pt idx="22">
                  <c:v>17.380471618305851</c:v>
                </c:pt>
                <c:pt idx="23">
                  <c:v>16.47457222380698</c:v>
                </c:pt>
                <c:pt idx="24">
                  <c:v>16.00416435106953</c:v>
                </c:pt>
                <c:pt idx="25">
                  <c:v>15.684895396437915</c:v>
                </c:pt>
                <c:pt idx="26">
                  <c:v>15.476142672240272</c:v>
                </c:pt>
                <c:pt idx="27">
                  <c:v>15.306499531334222</c:v>
                </c:pt>
                <c:pt idx="28">
                  <c:v>15.165987838599264</c:v>
                </c:pt>
                <c:pt idx="29">
                  <c:v>13.876864740729612</c:v>
                </c:pt>
                <c:pt idx="30">
                  <c:v>13.415685254139772</c:v>
                </c:pt>
                <c:pt idx="31">
                  <c:v>12.655690508124222</c:v>
                </c:pt>
                <c:pt idx="32">
                  <c:v>11.860660187747934</c:v>
                </c:pt>
                <c:pt idx="33">
                  <c:v>11.514846438371078</c:v>
                </c:pt>
                <c:pt idx="34">
                  <c:v>11.002996894594784</c:v>
                </c:pt>
                <c:pt idx="35">
                  <c:v>9.8273849076952278</c:v>
                </c:pt>
                <c:pt idx="36">
                  <c:v>10.065222229569908</c:v>
                </c:pt>
                <c:pt idx="37">
                  <c:v>9.9608725594031444</c:v>
                </c:pt>
                <c:pt idx="38">
                  <c:v>9.86449840706873</c:v>
                </c:pt>
                <c:pt idx="39">
                  <c:v>9.6788860388385984</c:v>
                </c:pt>
                <c:pt idx="40">
                  <c:v>9.8090030090872204</c:v>
                </c:pt>
                <c:pt idx="41">
                  <c:v>9.4531067054037194</c:v>
                </c:pt>
                <c:pt idx="42">
                  <c:v>9.7739026414361501</c:v>
                </c:pt>
                <c:pt idx="43">
                  <c:v>9.2247241082846809</c:v>
                </c:pt>
                <c:pt idx="44">
                  <c:v>8.635524203414402</c:v>
                </c:pt>
                <c:pt idx="45">
                  <c:v>8.6858470313272864</c:v>
                </c:pt>
                <c:pt idx="46">
                  <c:v>8.7373319080508249</c:v>
                </c:pt>
                <c:pt idx="47">
                  <c:v>8.0716524801923288</c:v>
                </c:pt>
                <c:pt idx="48">
                  <c:v>8.3353120251170907</c:v>
                </c:pt>
                <c:pt idx="49">
                  <c:v>8.0109686952895611</c:v>
                </c:pt>
                <c:pt idx="50">
                  <c:v>7.9314744209881729</c:v>
                </c:pt>
                <c:pt idx="51">
                  <c:v>7.9415984175715648</c:v>
                </c:pt>
                <c:pt idx="52">
                  <c:v>7.6900521851189092</c:v>
                </c:pt>
                <c:pt idx="53">
                  <c:v>7.2988256319173956</c:v>
                </c:pt>
                <c:pt idx="54">
                  <c:v>7.2629696637924077</c:v>
                </c:pt>
                <c:pt idx="55">
                  <c:v>6.80182300563271</c:v>
                </c:pt>
                <c:pt idx="56">
                  <c:v>6.5941876314241421</c:v>
                </c:pt>
                <c:pt idx="57">
                  <c:v>6.6242556312182863</c:v>
                </c:pt>
                <c:pt idx="58">
                  <c:v>6.2691387481011791</c:v>
                </c:pt>
                <c:pt idx="59">
                  <c:v>6.3751410516758362</c:v>
                </c:pt>
                <c:pt idx="60">
                  <c:v>6.3362437840621721</c:v>
                </c:pt>
                <c:pt idx="61">
                  <c:v>6.3830397143041999</c:v>
                </c:pt>
                <c:pt idx="62">
                  <c:v>6.549592628662519</c:v>
                </c:pt>
                <c:pt idx="63">
                  <c:v>6.5191873312390411</c:v>
                </c:pt>
                <c:pt idx="64">
                  <c:v>6.2765224190924016</c:v>
                </c:pt>
                <c:pt idx="65">
                  <c:v>6.8373230260521982</c:v>
                </c:pt>
                <c:pt idx="66">
                  <c:v>6.4112179179859572</c:v>
                </c:pt>
                <c:pt idx="67">
                  <c:v>6.448521176793526</c:v>
                </c:pt>
                <c:pt idx="68">
                  <c:v>6.3738117650903847</c:v>
                </c:pt>
                <c:pt idx="69">
                  <c:v>6.587229762994613</c:v>
                </c:pt>
                <c:pt idx="70">
                  <c:v>6.5283809582580874</c:v>
                </c:pt>
                <c:pt idx="71">
                  <c:v>6.6279056087722195</c:v>
                </c:pt>
                <c:pt idx="72">
                  <c:v>6.8836234217583119</c:v>
                </c:pt>
                <c:pt idx="73">
                  <c:v>7.0014764860783343</c:v>
                </c:pt>
                <c:pt idx="74">
                  <c:v>7.1457620460214715</c:v>
                </c:pt>
                <c:pt idx="75">
                  <c:v>7.1277104804725475</c:v>
                </c:pt>
                <c:pt idx="76">
                  <c:v>7.3667106647697169</c:v>
                </c:pt>
                <c:pt idx="77">
                  <c:v>7.4391026466568757</c:v>
                </c:pt>
                <c:pt idx="78">
                  <c:v>8.3357727707491254</c:v>
                </c:pt>
                <c:pt idx="79">
                  <c:v>8.6847317655524492</c:v>
                </c:pt>
                <c:pt idx="80">
                  <c:v>8.5040616142051793</c:v>
                </c:pt>
                <c:pt idx="81">
                  <c:v>8.6645847246032091</c:v>
                </c:pt>
                <c:pt idx="82">
                  <c:v>9.169345336331638</c:v>
                </c:pt>
                <c:pt idx="83">
                  <c:v>8.8950899001130299</c:v>
                </c:pt>
                <c:pt idx="84">
                  <c:v>9.1533156233568764</c:v>
                </c:pt>
                <c:pt idx="85">
                  <c:v>9.3251174357844135</c:v>
                </c:pt>
                <c:pt idx="86">
                  <c:v>9.5590048679082251</c:v>
                </c:pt>
                <c:pt idx="87">
                  <c:v>9.698710107163004</c:v>
                </c:pt>
                <c:pt idx="88">
                  <c:v>9.9209793416048502</c:v>
                </c:pt>
                <c:pt idx="89">
                  <c:v>9.6765572167412124</c:v>
                </c:pt>
                <c:pt idx="90">
                  <c:v>9.5101341515466959</c:v>
                </c:pt>
                <c:pt idx="91">
                  <c:v>9.6776807688895232</c:v>
                </c:pt>
                <c:pt idx="92">
                  <c:v>9.5202993490320438</c:v>
                </c:pt>
                <c:pt idx="93">
                  <c:v>9.536016756200338</c:v>
                </c:pt>
                <c:pt idx="94">
                  <c:v>9.6112619465874936</c:v>
                </c:pt>
                <c:pt idx="95">
                  <c:v>9.6920731855333795</c:v>
                </c:pt>
                <c:pt idx="96">
                  <c:v>9.8470376841910578</c:v>
                </c:pt>
                <c:pt idx="97">
                  <c:v>9.8462479087635852</c:v>
                </c:pt>
                <c:pt idx="98">
                  <c:v>9.9191455823069692</c:v>
                </c:pt>
                <c:pt idx="99">
                  <c:v>9.5255340172900684</c:v>
                </c:pt>
                <c:pt idx="100">
                  <c:v>9.4314700429105898</c:v>
                </c:pt>
                <c:pt idx="101">
                  <c:v>9.3000428397720079</c:v>
                </c:pt>
                <c:pt idx="102">
                  <c:v>9.125165402294563</c:v>
                </c:pt>
                <c:pt idx="103">
                  <c:v>8.7135321649934845</c:v>
                </c:pt>
                <c:pt idx="104">
                  <c:v>8.0996371983143494</c:v>
                </c:pt>
                <c:pt idx="105">
                  <c:v>8.0475254645988343</c:v>
                </c:pt>
                <c:pt idx="106">
                  <c:v>7.7082961981466287</c:v>
                </c:pt>
                <c:pt idx="107">
                  <c:v>7.7567511275600003</c:v>
                </c:pt>
                <c:pt idx="108">
                  <c:v>7.8149066391459101</c:v>
                </c:pt>
                <c:pt idx="109">
                  <c:v>7.8007474925872833</c:v>
                </c:pt>
                <c:pt idx="110">
                  <c:v>7.5715884297933673</c:v>
                </c:pt>
                <c:pt idx="111">
                  <c:v>7.3885256163242214</c:v>
                </c:pt>
                <c:pt idx="112">
                  <c:v>7.3291519268601073</c:v>
                </c:pt>
                <c:pt idx="113">
                  <c:v>7.2809174413331093</c:v>
                </c:pt>
                <c:pt idx="114">
                  <c:v>7.2337195606121503</c:v>
                </c:pt>
                <c:pt idx="115">
                  <c:v>7.0809368001060742</c:v>
                </c:pt>
                <c:pt idx="116">
                  <c:v>6.9257816947421684</c:v>
                </c:pt>
                <c:pt idx="117">
                  <c:v>6.839359291945688</c:v>
                </c:pt>
                <c:pt idx="118">
                  <c:v>6.8723372553211215</c:v>
                </c:pt>
                <c:pt idx="119">
                  <c:v>6.7185832773677836</c:v>
                </c:pt>
                <c:pt idx="120">
                  <c:v>6.8132305653785377</c:v>
                </c:pt>
                <c:pt idx="121">
                  <c:v>6.7956211577264174</c:v>
                </c:pt>
                <c:pt idx="122">
                  <c:v>7.0139040218826247</c:v>
                </c:pt>
                <c:pt idx="123">
                  <c:v>6.8398201131874536</c:v>
                </c:pt>
                <c:pt idx="124">
                  <c:v>6.7656091788870976</c:v>
                </c:pt>
                <c:pt idx="125">
                  <c:v>6.9323153123237455</c:v>
                </c:pt>
                <c:pt idx="126">
                  <c:v>6.8232033310291369</c:v>
                </c:pt>
                <c:pt idx="127">
                  <c:v>6.8266820076917458</c:v>
                </c:pt>
                <c:pt idx="128">
                  <c:v>6.5796507930055146</c:v>
                </c:pt>
                <c:pt idx="129">
                  <c:v>6.596970737080281</c:v>
                </c:pt>
                <c:pt idx="130">
                  <c:v>6.4475195288347606</c:v>
                </c:pt>
                <c:pt idx="131">
                  <c:v>6.5598193790941943</c:v>
                </c:pt>
                <c:pt idx="132">
                  <c:v>6.7521049612386532</c:v>
                </c:pt>
                <c:pt idx="133">
                  <c:v>6.86986501828813</c:v>
                </c:pt>
                <c:pt idx="134">
                  <c:v>6.9036031950729555</c:v>
                </c:pt>
                <c:pt idx="135">
                  <c:v>6.7799399719779698</c:v>
                </c:pt>
                <c:pt idx="136">
                  <c:v>6.7195440721166015</c:v>
                </c:pt>
                <c:pt idx="137">
                  <c:v>6.8958760004447583</c:v>
                </c:pt>
                <c:pt idx="138">
                  <c:v>6.7613472619501813</c:v>
                </c:pt>
                <c:pt idx="139">
                  <c:v>6.8053590067105674</c:v>
                </c:pt>
                <c:pt idx="140">
                  <c:v>6.7194939452356941</c:v>
                </c:pt>
                <c:pt idx="141">
                  <c:v>6.6633022966352407</c:v>
                </c:pt>
                <c:pt idx="142">
                  <c:v>6.642967624609752</c:v>
                </c:pt>
                <c:pt idx="143">
                  <c:v>6.5856828716633053</c:v>
                </c:pt>
                <c:pt idx="144">
                  <c:v>6.5937451035806447</c:v>
                </c:pt>
                <c:pt idx="145">
                  <c:v>6.4859361136508191</c:v>
                </c:pt>
                <c:pt idx="146">
                  <c:v>6.6214651096033261</c:v>
                </c:pt>
                <c:pt idx="147">
                  <c:v>6.5132601541180453</c:v>
                </c:pt>
                <c:pt idx="148">
                  <c:v>6.5058566384188481</c:v>
                </c:pt>
                <c:pt idx="149">
                  <c:v>6.6657368312761411</c:v>
                </c:pt>
                <c:pt idx="150">
                  <c:v>6.5819682939681936</c:v>
                </c:pt>
                <c:pt idx="151">
                  <c:v>6.667306021969682</c:v>
                </c:pt>
                <c:pt idx="152">
                  <c:v>6.6462046673590338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6.5847115209949383</c:v>
                </c:pt>
                <c:pt idx="156">
                  <c:v>6.6206207502071388</c:v>
                </c:pt>
                <c:pt idx="157">
                  <c:v>6.5578734754184378</c:v>
                </c:pt>
                <c:pt idx="158">
                  <c:v>6.4751650696178382</c:v>
                </c:pt>
                <c:pt idx="159">
                  <c:v>6.5193430597600619</c:v>
                </c:pt>
                <c:pt idx="160">
                  <c:v>6.4792672547702308</c:v>
                </c:pt>
                <c:pt idx="161">
                  <c:v>6.7096175546889745</c:v>
                </c:pt>
                <c:pt idx="162">
                  <c:v>6.5224504735928344</c:v>
                </c:pt>
                <c:pt idx="163">
                  <c:v>6.438438961932607</c:v>
                </c:pt>
                <c:pt idx="164">
                  <c:v>6.4747458976877033</c:v>
                </c:pt>
                <c:pt idx="165">
                  <c:v>6.5699301994564632</c:v>
                </c:pt>
                <c:pt idx="166">
                  <c:v>6.5018634209553259</c:v>
                </c:pt>
                <c:pt idx="167">
                  <c:v>6.6451001491349659</c:v>
                </c:pt>
                <c:pt idx="168">
                  <c:v>6.7363315911310986</c:v>
                </c:pt>
                <c:pt idx="169">
                  <c:v>6.7460570351631812</c:v>
                </c:pt>
                <c:pt idx="170">
                  <c:v>6.8914682843780017</c:v>
                </c:pt>
                <c:pt idx="171">
                  <c:v>6.9142323416700728</c:v>
                </c:pt>
                <c:pt idx="172">
                  <c:v>7.0918123477350958</c:v>
                </c:pt>
                <c:pt idx="173">
                  <c:v>7.2166606301959613</c:v>
                </c:pt>
                <c:pt idx="174">
                  <c:v>7.3649912222446208</c:v>
                </c:pt>
                <c:pt idx="175">
                  <c:v>7.3856031906819961</c:v>
                </c:pt>
                <c:pt idx="176">
                  <c:v>7.3081966036445607</c:v>
                </c:pt>
                <c:pt idx="177">
                  <c:v>7.4797627135251306</c:v>
                </c:pt>
                <c:pt idx="178">
                  <c:v>7.9459489792987679</c:v>
                </c:pt>
                <c:pt idx="179">
                  <c:v>7.9153104702503185</c:v>
                </c:pt>
                <c:pt idx="180">
                  <c:v>8.7168952832956244</c:v>
                </c:pt>
                <c:pt idx="181">
                  <c:v>8.8775893906390149</c:v>
                </c:pt>
                <c:pt idx="182">
                  <c:v>8.970438500169017</c:v>
                </c:pt>
                <c:pt idx="183">
                  <c:v>9.1295724045981448</c:v>
                </c:pt>
                <c:pt idx="184">
                  <c:v>9.3264226174921792</c:v>
                </c:pt>
                <c:pt idx="185">
                  <c:v>9.4750637056719835</c:v>
                </c:pt>
                <c:pt idx="186">
                  <c:v>9.609728355793818</c:v>
                </c:pt>
                <c:pt idx="187">
                  <c:v>9.6841952269671747</c:v>
                </c:pt>
                <c:pt idx="188">
                  <c:v>9.6579677446219812</c:v>
                </c:pt>
                <c:pt idx="189">
                  <c:v>9.6913243426901499</c:v>
                </c:pt>
                <c:pt idx="190">
                  <c:v>9.9342408537061448</c:v>
                </c:pt>
                <c:pt idx="191">
                  <c:v>9.9405994462650344</c:v>
                </c:pt>
                <c:pt idx="192">
                  <c:v>10.287486686170034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CA7-4586-93DE-FFD74F1F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381744"/>
        <c:axId val="248942944"/>
      </c:lineChart>
      <c:dateAx>
        <c:axId val="245381744"/>
        <c:scaling>
          <c:orientation val="minMax"/>
          <c:max val="43101"/>
          <c:min val="37257"/>
        </c:scaling>
        <c:delete val="0"/>
        <c:axPos val="b"/>
        <c:numFmt formatCode="mmm\-yy" sourceLinked="1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48942944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48942944"/>
        <c:scaling>
          <c:orientation val="minMax"/>
          <c:max val="3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crossAx val="245381744"/>
        <c:crosses val="autoZero"/>
        <c:crossBetween val="midCat"/>
        <c:majorUnit val="5"/>
        <c:minorUnit val="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256417100404823"/>
          <c:y val="0.88588560701291696"/>
          <c:w val="0.73128205128205126"/>
          <c:h val="8.36865173426923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75155118802761789"/>
          <c:h val="0.72089908787167334"/>
        </c:manualLayout>
      </c:layout>
      <c:lineChart>
        <c:grouping val="standard"/>
        <c:varyColors val="0"/>
        <c:ser>
          <c:idx val="0"/>
          <c:order val="0"/>
          <c:tx>
            <c:strRef>
              <c:f>'G2.4A'!$B$3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'G2.4A'!$B$4:$B$500</c:f>
              <c:numCache>
                <c:formatCode>#,##0.0</c:formatCode>
                <c:ptCount val="497"/>
                <c:pt idx="0">
                  <c:v>26.756789925081417</c:v>
                </c:pt>
                <c:pt idx="1">
                  <c:v>27.169647797227789</c:v>
                </c:pt>
                <c:pt idx="2">
                  <c:v>27.743881136699478</c:v>
                </c:pt>
                <c:pt idx="3">
                  <c:v>27.343894228659256</c:v>
                </c:pt>
                <c:pt idx="4">
                  <c:v>26.433027455136003</c:v>
                </c:pt>
                <c:pt idx="5">
                  <c:v>25.003216797153272</c:v>
                </c:pt>
                <c:pt idx="6">
                  <c:v>24.476498529632327</c:v>
                </c:pt>
                <c:pt idx="7">
                  <c:v>24.227970429840468</c:v>
                </c:pt>
                <c:pt idx="8">
                  <c:v>22.072738043757862</c:v>
                </c:pt>
                <c:pt idx="9">
                  <c:v>22.289476393678637</c:v>
                </c:pt>
                <c:pt idx="10">
                  <c:v>21.535515267950235</c:v>
                </c:pt>
                <c:pt idx="11">
                  <c:v>21.077917870934442</c:v>
                </c:pt>
                <c:pt idx="12">
                  <c:v>21.097010706078986</c:v>
                </c:pt>
                <c:pt idx="13">
                  <c:v>20.110091499650697</c:v>
                </c:pt>
                <c:pt idx="14">
                  <c:v>19.68939568024701</c:v>
                </c:pt>
                <c:pt idx="15">
                  <c:v>18.680836354953065</c:v>
                </c:pt>
                <c:pt idx="16">
                  <c:v>18.224516050983731</c:v>
                </c:pt>
                <c:pt idx="17">
                  <c:v>17.667094820752482</c:v>
                </c:pt>
                <c:pt idx="18">
                  <c:v>16.735069089768615</c:v>
                </c:pt>
                <c:pt idx="19">
                  <c:v>16.725268446712143</c:v>
                </c:pt>
                <c:pt idx="20">
                  <c:v>16.106662214904429</c:v>
                </c:pt>
                <c:pt idx="21">
                  <c:v>15.536264475943204</c:v>
                </c:pt>
                <c:pt idx="22">
                  <c:v>15.47272016765754</c:v>
                </c:pt>
                <c:pt idx="23">
                  <c:v>15.059740537851408</c:v>
                </c:pt>
                <c:pt idx="24">
                  <c:v>14.407001119155691</c:v>
                </c:pt>
                <c:pt idx="25">
                  <c:v>14.002923384319683</c:v>
                </c:pt>
                <c:pt idx="26">
                  <c:v>13.777248240367712</c:v>
                </c:pt>
                <c:pt idx="27">
                  <c:v>13.598428848836349</c:v>
                </c:pt>
                <c:pt idx="28">
                  <c:v>13.729237742341768</c:v>
                </c:pt>
                <c:pt idx="29">
                  <c:v>12.892631582196719</c:v>
                </c:pt>
                <c:pt idx="30">
                  <c:v>12.394240235562599</c:v>
                </c:pt>
                <c:pt idx="31">
                  <c:v>11.902453742578864</c:v>
                </c:pt>
                <c:pt idx="32">
                  <c:v>11.433346195709767</c:v>
                </c:pt>
                <c:pt idx="33">
                  <c:v>10.973951540933589</c:v>
                </c:pt>
                <c:pt idx="34">
                  <c:v>10.420513746080228</c:v>
                </c:pt>
                <c:pt idx="35">
                  <c:v>9.8018514529169938</c:v>
                </c:pt>
                <c:pt idx="36">
                  <c:v>9.9700529717713398</c:v>
                </c:pt>
                <c:pt idx="37">
                  <c:v>9.7881687684529819</c:v>
                </c:pt>
                <c:pt idx="38">
                  <c:v>9.5738570685353643</c:v>
                </c:pt>
                <c:pt idx="39">
                  <c:v>9.5596584300878185</c:v>
                </c:pt>
                <c:pt idx="40">
                  <c:v>9.6790512038305465</c:v>
                </c:pt>
                <c:pt idx="41">
                  <c:v>9.5886522451330691</c:v>
                </c:pt>
                <c:pt idx="42">
                  <c:v>10.044448351031926</c:v>
                </c:pt>
                <c:pt idx="43">
                  <c:v>9.3293091375794859</c:v>
                </c:pt>
                <c:pt idx="44">
                  <c:v>8.540417836349917</c:v>
                </c:pt>
                <c:pt idx="45">
                  <c:v>8.5806359026012338</c:v>
                </c:pt>
                <c:pt idx="46">
                  <c:v>8.7392964916720111</c:v>
                </c:pt>
                <c:pt idx="47">
                  <c:v>8.360794983508212</c:v>
                </c:pt>
                <c:pt idx="48">
                  <c:v>8.6259322655434918</c:v>
                </c:pt>
                <c:pt idx="49">
                  <c:v>8.0812809183521388</c:v>
                </c:pt>
                <c:pt idx="50">
                  <c:v>7.9646719984422898</c:v>
                </c:pt>
                <c:pt idx="51">
                  <c:v>7.9150361023337954</c:v>
                </c:pt>
                <c:pt idx="52">
                  <c:v>7.4962416558953535</c:v>
                </c:pt>
                <c:pt idx="53">
                  <c:v>7.1003594540110226</c:v>
                </c:pt>
                <c:pt idx="54">
                  <c:v>7.045319398986817</c:v>
                </c:pt>
                <c:pt idx="55">
                  <c:v>6.4827271054808655</c:v>
                </c:pt>
                <c:pt idx="56">
                  <c:v>6.2566171607757326</c:v>
                </c:pt>
                <c:pt idx="57">
                  <c:v>6.1432928672053784</c:v>
                </c:pt>
                <c:pt idx="58">
                  <c:v>5.5096613190749588</c:v>
                </c:pt>
                <c:pt idx="59">
                  <c:v>5.8970705660708154</c:v>
                </c:pt>
                <c:pt idx="60">
                  <c:v>5.7640769425826761</c:v>
                </c:pt>
                <c:pt idx="61">
                  <c:v>5.7490331192101634</c:v>
                </c:pt>
                <c:pt idx="62">
                  <c:v>5.9667897958252114</c:v>
                </c:pt>
                <c:pt idx="63">
                  <c:v>5.8768866797505783</c:v>
                </c:pt>
                <c:pt idx="64">
                  <c:v>5.4853714831574258</c:v>
                </c:pt>
                <c:pt idx="65">
                  <c:v>6.1425656331194505</c:v>
                </c:pt>
                <c:pt idx="66">
                  <c:v>5.4336724608651616</c:v>
                </c:pt>
                <c:pt idx="67">
                  <c:v>5.5431243790934017</c:v>
                </c:pt>
                <c:pt idx="68">
                  <c:v>5.219533008347204</c:v>
                </c:pt>
                <c:pt idx="69">
                  <c:v>5.4771156266148244</c:v>
                </c:pt>
                <c:pt idx="70">
                  <c:v>5.237347685174214</c:v>
                </c:pt>
                <c:pt idx="71">
                  <c:v>5.5431599135086378</c:v>
                </c:pt>
                <c:pt idx="72">
                  <c:v>5.6757375897341538</c:v>
                </c:pt>
                <c:pt idx="73">
                  <c:v>5.5749829647990019</c:v>
                </c:pt>
                <c:pt idx="74">
                  <c:v>5.4273892018384329</c:v>
                </c:pt>
                <c:pt idx="75">
                  <c:v>5.5244427099108675</c:v>
                </c:pt>
                <c:pt idx="76">
                  <c:v>5.688662169408996</c:v>
                </c:pt>
                <c:pt idx="77">
                  <c:v>6.135378459955267</c:v>
                </c:pt>
                <c:pt idx="78">
                  <c:v>7.2840531536766235</c:v>
                </c:pt>
                <c:pt idx="79">
                  <c:v>7.4556224764804799</c:v>
                </c:pt>
                <c:pt idx="80">
                  <c:v>7.3243320425783107</c:v>
                </c:pt>
                <c:pt idx="81">
                  <c:v>7.5534269553044391</c:v>
                </c:pt>
                <c:pt idx="82">
                  <c:v>8.0218380528232753</c:v>
                </c:pt>
                <c:pt idx="83">
                  <c:v>7.7424153527813671</c:v>
                </c:pt>
                <c:pt idx="84">
                  <c:v>7.8827292679228833</c:v>
                </c:pt>
                <c:pt idx="85">
                  <c:v>7.9688131151593833</c:v>
                </c:pt>
                <c:pt idx="86">
                  <c:v>8.2396350344655289</c:v>
                </c:pt>
                <c:pt idx="87">
                  <c:v>8.3762791947213895</c:v>
                </c:pt>
                <c:pt idx="88">
                  <c:v>8.5400302471330196</c:v>
                </c:pt>
                <c:pt idx="89">
                  <c:v>8.2845046793853481</c:v>
                </c:pt>
                <c:pt idx="90">
                  <c:v>8.3949476562143648</c:v>
                </c:pt>
                <c:pt idx="91">
                  <c:v>8.5180393055952255</c:v>
                </c:pt>
                <c:pt idx="92">
                  <c:v>8.5718924979642015</c:v>
                </c:pt>
                <c:pt idx="93">
                  <c:v>8.7319458876046614</c:v>
                </c:pt>
                <c:pt idx="94">
                  <c:v>8.9492880798821233</c:v>
                </c:pt>
                <c:pt idx="95">
                  <c:v>9.631310588099808</c:v>
                </c:pt>
                <c:pt idx="96">
                  <c:v>9.7983211811921542</c:v>
                </c:pt>
                <c:pt idx="97">
                  <c:v>9.6902033297721015</c:v>
                </c:pt>
                <c:pt idx="98">
                  <c:v>9.9656372809079024</c:v>
                </c:pt>
                <c:pt idx="99">
                  <c:v>9.4257093579282003</c:v>
                </c:pt>
                <c:pt idx="100">
                  <c:v>9.1356716769865578</c:v>
                </c:pt>
                <c:pt idx="101">
                  <c:v>9.3423854930205774</c:v>
                </c:pt>
                <c:pt idx="102">
                  <c:v>9.1702050500746335</c:v>
                </c:pt>
                <c:pt idx="103">
                  <c:v>8.7250135700697058</c:v>
                </c:pt>
                <c:pt idx="104">
                  <c:v>7.9637567151632132</c:v>
                </c:pt>
                <c:pt idx="105">
                  <c:v>7.8579432265485298</c:v>
                </c:pt>
                <c:pt idx="106">
                  <c:v>7.4907516885247771</c:v>
                </c:pt>
                <c:pt idx="107">
                  <c:v>7.7036085748267356</c:v>
                </c:pt>
                <c:pt idx="108">
                  <c:v>7.8047451160969841</c:v>
                </c:pt>
                <c:pt idx="109">
                  <c:v>7.6949019260458593</c:v>
                </c:pt>
                <c:pt idx="110">
                  <c:v>7.4120439829324409</c:v>
                </c:pt>
                <c:pt idx="111">
                  <c:v>7.1205118498187874</c:v>
                </c:pt>
                <c:pt idx="112">
                  <c:v>7.1914004089050749</c:v>
                </c:pt>
                <c:pt idx="113">
                  <c:v>7.3194748799835221</c:v>
                </c:pt>
                <c:pt idx="114">
                  <c:v>7.1651258955598243</c:v>
                </c:pt>
                <c:pt idx="115">
                  <c:v>6.9885242533317689</c:v>
                </c:pt>
                <c:pt idx="116">
                  <c:v>6.7676575999758608</c:v>
                </c:pt>
                <c:pt idx="117">
                  <c:v>6.6032864614092608</c:v>
                </c:pt>
                <c:pt idx="118">
                  <c:v>6.5292484050951956</c:v>
                </c:pt>
                <c:pt idx="119">
                  <c:v>6.6772454131771708</c:v>
                </c:pt>
                <c:pt idx="120">
                  <c:v>6.6850766204896859</c:v>
                </c:pt>
                <c:pt idx="121">
                  <c:v>6.5032337492001355</c:v>
                </c:pt>
                <c:pt idx="122">
                  <c:v>6.8084852775887263</c:v>
                </c:pt>
                <c:pt idx="123">
                  <c:v>6.5396095656188287</c:v>
                </c:pt>
                <c:pt idx="124">
                  <c:v>6.4323023934267791</c:v>
                </c:pt>
                <c:pt idx="125">
                  <c:v>6.7380818498457353</c:v>
                </c:pt>
                <c:pt idx="126">
                  <c:v>6.6127653423550878</c:v>
                </c:pt>
                <c:pt idx="127">
                  <c:v>6.5915353968250585</c:v>
                </c:pt>
                <c:pt idx="128">
                  <c:v>6.1716230216383021</c:v>
                </c:pt>
                <c:pt idx="129">
                  <c:v>6.2007759380471725</c:v>
                </c:pt>
                <c:pt idx="130">
                  <c:v>5.9790625720567849</c:v>
                </c:pt>
                <c:pt idx="131">
                  <c:v>6.2830871268736557</c:v>
                </c:pt>
                <c:pt idx="132">
                  <c:v>6.5384707840006948</c:v>
                </c:pt>
                <c:pt idx="133">
                  <c:v>6.6166243478321851</c:v>
                </c:pt>
                <c:pt idx="134">
                  <c:v>6.453635063024814</c:v>
                </c:pt>
                <c:pt idx="135">
                  <c:v>6.3459565521983006</c:v>
                </c:pt>
                <c:pt idx="136">
                  <c:v>6.3629761940389864</c:v>
                </c:pt>
                <c:pt idx="137">
                  <c:v>6.6188066032544617</c:v>
                </c:pt>
                <c:pt idx="138">
                  <c:v>6.610388362463099</c:v>
                </c:pt>
                <c:pt idx="139">
                  <c:v>6.6832994365467515</c:v>
                </c:pt>
                <c:pt idx="140">
                  <c:v>6.5696896383820205</c:v>
                </c:pt>
                <c:pt idx="141">
                  <c:v>6.5509022138717006</c:v>
                </c:pt>
                <c:pt idx="142">
                  <c:v>6.4993524162573468</c:v>
                </c:pt>
                <c:pt idx="143">
                  <c:v>6.6217822685829804</c:v>
                </c:pt>
                <c:pt idx="144">
                  <c:v>6.6071882834481634</c:v>
                </c:pt>
                <c:pt idx="145">
                  <c:v>6.3390344368975198</c:v>
                </c:pt>
                <c:pt idx="146">
                  <c:v>6.5065687472318237</c:v>
                </c:pt>
                <c:pt idx="147">
                  <c:v>6.3418568281056675</c:v>
                </c:pt>
                <c:pt idx="148">
                  <c:v>6.3304393006683179</c:v>
                </c:pt>
                <c:pt idx="149">
                  <c:v>6.4904993306901924</c:v>
                </c:pt>
                <c:pt idx="150">
                  <c:v>6.5884936438087038</c:v>
                </c:pt>
                <c:pt idx="151">
                  <c:v>6.5995972998166827</c:v>
                </c:pt>
                <c:pt idx="152">
                  <c:v>6.5756602456469233</c:v>
                </c:pt>
                <c:pt idx="153">
                  <c:v>6.5263757942610203</c:v>
                </c:pt>
                <c:pt idx="154">
                  <c:v>6.3424066757610422</c:v>
                </c:pt>
                <c:pt idx="155">
                  <c:v>6.6516598036270072</c:v>
                </c:pt>
                <c:pt idx="156">
                  <c:v>6.7571001830191531</c:v>
                </c:pt>
                <c:pt idx="157">
                  <c:v>6.6254611000157118</c:v>
                </c:pt>
                <c:pt idx="158">
                  <c:v>6.5038056768709529</c:v>
                </c:pt>
                <c:pt idx="159">
                  <c:v>6.5368953714041318</c:v>
                </c:pt>
                <c:pt idx="160">
                  <c:v>6.3803550049901556</c:v>
                </c:pt>
                <c:pt idx="161">
                  <c:v>6.7455168273009267</c:v>
                </c:pt>
                <c:pt idx="162">
                  <c:v>6.5984416065711837</c:v>
                </c:pt>
                <c:pt idx="163">
                  <c:v>6.4372721113468963</c:v>
                </c:pt>
                <c:pt idx="164">
                  <c:v>6.5505956051188745</c:v>
                </c:pt>
                <c:pt idx="165">
                  <c:v>6.6953647793047431</c:v>
                </c:pt>
                <c:pt idx="166">
                  <c:v>6.489147933811962</c:v>
                </c:pt>
                <c:pt idx="167">
                  <c:v>6.8777738117236336</c:v>
                </c:pt>
                <c:pt idx="168">
                  <c:v>6.9573951678207662</c:v>
                </c:pt>
                <c:pt idx="169">
                  <c:v>6.8660749884924073</c:v>
                </c:pt>
                <c:pt idx="170">
                  <c:v>7.0380230195088842</c:v>
                </c:pt>
                <c:pt idx="171">
                  <c:v>7.0777991664861126</c:v>
                </c:pt>
                <c:pt idx="172">
                  <c:v>7.2768214481305167</c:v>
                </c:pt>
                <c:pt idx="173">
                  <c:v>7.5240643431531034</c:v>
                </c:pt>
                <c:pt idx="174">
                  <c:v>7.6594907091863416</c:v>
                </c:pt>
                <c:pt idx="175">
                  <c:v>7.7350708898613343</c:v>
                </c:pt>
                <c:pt idx="176">
                  <c:v>7.6322097153148203</c:v>
                </c:pt>
                <c:pt idx="177">
                  <c:v>7.8091602313417994</c:v>
                </c:pt>
                <c:pt idx="178">
                  <c:v>8.5163023381229301</c:v>
                </c:pt>
                <c:pt idx="179">
                  <c:v>8.6310784063998209</c:v>
                </c:pt>
                <c:pt idx="180">
                  <c:v>9.9285926263227626</c:v>
                </c:pt>
                <c:pt idx="181">
                  <c:v>10.053991216714415</c:v>
                </c:pt>
                <c:pt idx="182">
                  <c:v>10.18900594446138</c:v>
                </c:pt>
                <c:pt idx="183">
                  <c:v>10.190917906712892</c:v>
                </c:pt>
                <c:pt idx="184">
                  <c:v>10.427980068002311</c:v>
                </c:pt>
                <c:pt idx="185">
                  <c:v>10.634848714785166</c:v>
                </c:pt>
                <c:pt idx="186">
                  <c:v>10.814777168585227</c:v>
                </c:pt>
                <c:pt idx="187">
                  <c:v>11.007401498251669</c:v>
                </c:pt>
                <c:pt idx="188">
                  <c:v>10.915910080435049</c:v>
                </c:pt>
                <c:pt idx="189">
                  <c:v>10.930735119328046</c:v>
                </c:pt>
                <c:pt idx="190">
                  <c:v>11.29999814874356</c:v>
                </c:pt>
                <c:pt idx="191">
                  <c:v>11.447284445347782</c:v>
                </c:pt>
                <c:pt idx="192">
                  <c:v>11.965356022980025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C6-466F-BC48-BDEF64183FBB}"/>
            </c:ext>
          </c:extLst>
        </c:ser>
        <c:ser>
          <c:idx val="1"/>
          <c:order val="1"/>
          <c:tx>
            <c:strRef>
              <c:f>'G2.4A'!$C$3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'G2.4A'!$C$4:$C$500</c:f>
              <c:numCache>
                <c:formatCode>#,##0.0</c:formatCode>
                <c:ptCount val="497"/>
                <c:pt idx="0">
                  <c:v>8.9631763478519417</c:v>
                </c:pt>
                <c:pt idx="1">
                  <c:v>9.6000088356995334</c:v>
                </c:pt>
                <c:pt idx="2">
                  <c:v>10.74360778017668</c:v>
                </c:pt>
                <c:pt idx="3">
                  <c:v>10.269048695840917</c:v>
                </c:pt>
                <c:pt idx="4">
                  <c:v>9.7516645881180803</c:v>
                </c:pt>
                <c:pt idx="5">
                  <c:v>9.4196636007863717</c:v>
                </c:pt>
                <c:pt idx="6">
                  <c:v>9.2513568767435128</c:v>
                </c:pt>
                <c:pt idx="7">
                  <c:v>8.9648974033494824</c:v>
                </c:pt>
                <c:pt idx="8">
                  <c:v>8.8453910840828431</c:v>
                </c:pt>
                <c:pt idx="9">
                  <c:v>8.7203888563172853</c:v>
                </c:pt>
                <c:pt idx="10">
                  <c:v>8.8697115082202291</c:v>
                </c:pt>
                <c:pt idx="11">
                  <c:v>8.1086933529560454</c:v>
                </c:pt>
                <c:pt idx="12">
                  <c:v>8.1644455801338456</c:v>
                </c:pt>
                <c:pt idx="13">
                  <c:v>8.6902162828559675</c:v>
                </c:pt>
                <c:pt idx="14">
                  <c:v>8.993310994986766</c:v>
                </c:pt>
                <c:pt idx="15">
                  <c:v>8.7440542611706995</c:v>
                </c:pt>
                <c:pt idx="16">
                  <c:v>8.52302901483319</c:v>
                </c:pt>
                <c:pt idx="17">
                  <c:v>8.5562540795540709</c:v>
                </c:pt>
                <c:pt idx="18">
                  <c:v>7.7045945928933435</c:v>
                </c:pt>
                <c:pt idx="19">
                  <c:v>8.057183031070041</c:v>
                </c:pt>
                <c:pt idx="20">
                  <c:v>7.8958963309885011</c:v>
                </c:pt>
                <c:pt idx="21">
                  <c:v>7.7386840711644211</c:v>
                </c:pt>
                <c:pt idx="22">
                  <c:v>8.232721697911062</c:v>
                </c:pt>
                <c:pt idx="23">
                  <c:v>7.1286159109155953</c:v>
                </c:pt>
                <c:pt idx="24">
                  <c:v>7.3524352786634575</c:v>
                </c:pt>
                <c:pt idx="25">
                  <c:v>7.6949713782089324</c:v>
                </c:pt>
                <c:pt idx="26">
                  <c:v>7.5830617482238454</c:v>
                </c:pt>
                <c:pt idx="27">
                  <c:v>7.6767673902330387</c:v>
                </c:pt>
                <c:pt idx="28">
                  <c:v>7.7552696554719756</c:v>
                </c:pt>
                <c:pt idx="29">
                  <c:v>7.4539894022363589</c:v>
                </c:pt>
                <c:pt idx="30">
                  <c:v>7.3529414179029287</c:v>
                </c:pt>
                <c:pt idx="31">
                  <c:v>7.0583346292981757</c:v>
                </c:pt>
                <c:pt idx="32">
                  <c:v>6.7354108801842347</c:v>
                </c:pt>
                <c:pt idx="33">
                  <c:v>7.0229581210812544</c:v>
                </c:pt>
                <c:pt idx="34">
                  <c:v>6.8259263991465922</c:v>
                </c:pt>
                <c:pt idx="35">
                  <c:v>5.8205501069567305</c:v>
                </c:pt>
                <c:pt idx="36">
                  <c:v>6.1823746698690476</c:v>
                </c:pt>
                <c:pt idx="37">
                  <c:v>6.6159169728232587</c:v>
                </c:pt>
                <c:pt idx="38">
                  <c:v>7.0550268141545933</c:v>
                </c:pt>
                <c:pt idx="39">
                  <c:v>6.8169372721816659</c:v>
                </c:pt>
                <c:pt idx="40">
                  <c:v>6.9260463689418836</c:v>
                </c:pt>
                <c:pt idx="41">
                  <c:v>6.2912003135784405</c:v>
                </c:pt>
                <c:pt idx="42">
                  <c:v>6.5364677685307058</c:v>
                </c:pt>
                <c:pt idx="43">
                  <c:v>6.3622249713007406</c:v>
                </c:pt>
                <c:pt idx="44">
                  <c:v>6.2099491596968219</c:v>
                </c:pt>
                <c:pt idx="45">
                  <c:v>6.4631552334193429</c:v>
                </c:pt>
                <c:pt idx="46">
                  <c:v>6.4704459878713223</c:v>
                </c:pt>
                <c:pt idx="47">
                  <c:v>5.631105736268176</c:v>
                </c:pt>
                <c:pt idx="48">
                  <c:v>6.0573373254183451</c:v>
                </c:pt>
                <c:pt idx="49">
                  <c:v>6.3499466129407072</c:v>
                </c:pt>
                <c:pt idx="50">
                  <c:v>6.3703313253383893</c:v>
                </c:pt>
                <c:pt idx="51">
                  <c:v>6.7220519047200105</c:v>
                </c:pt>
                <c:pt idx="52">
                  <c:v>6.8963440675349981</c:v>
                </c:pt>
                <c:pt idx="53">
                  <c:v>6.7166750781728748</c:v>
                </c:pt>
                <c:pt idx="54">
                  <c:v>6.8709951700578653</c:v>
                </c:pt>
                <c:pt idx="55">
                  <c:v>6.6086462286927539</c:v>
                </c:pt>
                <c:pt idx="56">
                  <c:v>6.5432708496699341</c:v>
                </c:pt>
                <c:pt idx="57">
                  <c:v>6.8269920486390268</c:v>
                </c:pt>
                <c:pt idx="58">
                  <c:v>7.0073327811820398</c:v>
                </c:pt>
                <c:pt idx="59">
                  <c:v>6.6597009369612596</c:v>
                </c:pt>
                <c:pt idx="60">
                  <c:v>6.8148206820224662</c:v>
                </c:pt>
                <c:pt idx="61">
                  <c:v>7.2101947633096577</c:v>
                </c:pt>
                <c:pt idx="62">
                  <c:v>7.3307229454862295</c:v>
                </c:pt>
                <c:pt idx="63">
                  <c:v>7.4006290105784727</c:v>
                </c:pt>
                <c:pt idx="64">
                  <c:v>7.3913316486921854</c:v>
                </c:pt>
                <c:pt idx="65">
                  <c:v>7.8991774327002382</c:v>
                </c:pt>
                <c:pt idx="66">
                  <c:v>7.8955154037311779</c:v>
                </c:pt>
                <c:pt idx="67">
                  <c:v>7.8926649870026484</c:v>
                </c:pt>
                <c:pt idx="68">
                  <c:v>8.34428544381508</c:v>
                </c:pt>
                <c:pt idx="69">
                  <c:v>8.4957902439410073</c:v>
                </c:pt>
                <c:pt idx="70">
                  <c:v>8.740909747695774</c:v>
                </c:pt>
                <c:pt idx="71">
                  <c:v>8.5286350565282358</c:v>
                </c:pt>
                <c:pt idx="72">
                  <c:v>9.0459982179825325</c:v>
                </c:pt>
                <c:pt idx="73">
                  <c:v>9.7323798411594531</c:v>
                </c:pt>
                <c:pt idx="74">
                  <c:v>10.464103559567164</c:v>
                </c:pt>
                <c:pt idx="75">
                  <c:v>10.194139279328972</c:v>
                </c:pt>
                <c:pt idx="76">
                  <c:v>10.539641581634735</c:v>
                </c:pt>
                <c:pt idx="77">
                  <c:v>10.016756566355783</c:v>
                </c:pt>
                <c:pt idx="78">
                  <c:v>10.473637127117982</c:v>
                </c:pt>
                <c:pt idx="79">
                  <c:v>11.467941564983784</c:v>
                </c:pt>
                <c:pt idx="80">
                  <c:v>11.17745969442989</c:v>
                </c:pt>
                <c:pt idx="81">
                  <c:v>11.332704360640172</c:v>
                </c:pt>
                <c:pt idx="82">
                  <c:v>12.007381058903171</c:v>
                </c:pt>
                <c:pt idx="83">
                  <c:v>11.616679883795019</c:v>
                </c:pt>
                <c:pt idx="84">
                  <c:v>12.111842091243696</c:v>
                </c:pt>
                <c:pt idx="85">
                  <c:v>12.563321026941265</c:v>
                </c:pt>
                <c:pt idx="86">
                  <c:v>12.68353511064851</c:v>
                </c:pt>
                <c:pt idx="87">
                  <c:v>12.938518371328117</c:v>
                </c:pt>
                <c:pt idx="88">
                  <c:v>13.214562174771373</c:v>
                </c:pt>
                <c:pt idx="89">
                  <c:v>12.93079831106061</c:v>
                </c:pt>
                <c:pt idx="90">
                  <c:v>12.24453011697144</c:v>
                </c:pt>
                <c:pt idx="91">
                  <c:v>12.407077457131683</c:v>
                </c:pt>
                <c:pt idx="92">
                  <c:v>11.877773638783008</c:v>
                </c:pt>
                <c:pt idx="93">
                  <c:v>11.608593952541751</c:v>
                </c:pt>
                <c:pt idx="94">
                  <c:v>11.535471926123659</c:v>
                </c:pt>
                <c:pt idx="95">
                  <c:v>10.547992887570588</c:v>
                </c:pt>
                <c:pt idx="96">
                  <c:v>10.753253218126186</c:v>
                </c:pt>
                <c:pt idx="97">
                  <c:v>11.040318663608458</c:v>
                </c:pt>
                <c:pt idx="98">
                  <c:v>10.775295325918949</c:v>
                </c:pt>
                <c:pt idx="99">
                  <c:v>10.430806846130464</c:v>
                </c:pt>
                <c:pt idx="100">
                  <c:v>10.644658849483273</c:v>
                </c:pt>
                <c:pt idx="101">
                  <c:v>9.8167360522014828</c:v>
                </c:pt>
                <c:pt idx="102">
                  <c:v>9.4979484402780994</c:v>
                </c:pt>
                <c:pt idx="103">
                  <c:v>9.1396875067398771</c:v>
                </c:pt>
                <c:pt idx="104">
                  <c:v>8.7655262963993295</c:v>
                </c:pt>
                <c:pt idx="105">
                  <c:v>8.7837718459008567</c:v>
                </c:pt>
                <c:pt idx="106">
                  <c:v>8.4831263825992398</c:v>
                </c:pt>
                <c:pt idx="107">
                  <c:v>7.7937869059702418</c:v>
                </c:pt>
                <c:pt idx="108">
                  <c:v>7.8703974851237524</c:v>
                </c:pt>
                <c:pt idx="109">
                  <c:v>8.2112897034905181</c:v>
                </c:pt>
                <c:pt idx="110">
                  <c:v>8.084901433201205</c:v>
                </c:pt>
                <c:pt idx="111">
                  <c:v>8.0902676299311853</c:v>
                </c:pt>
                <c:pt idx="112">
                  <c:v>7.7407370274517797</c:v>
                </c:pt>
                <c:pt idx="113">
                  <c:v>7.4746015306516176</c:v>
                </c:pt>
                <c:pt idx="114">
                  <c:v>7.6288943753575804</c:v>
                </c:pt>
                <c:pt idx="115">
                  <c:v>7.5889921874985573</c:v>
                </c:pt>
                <c:pt idx="116">
                  <c:v>7.6275289916051783</c:v>
                </c:pt>
                <c:pt idx="117">
                  <c:v>7.6496862047663612</c:v>
                </c:pt>
                <c:pt idx="118">
                  <c:v>7.9347759313653281</c:v>
                </c:pt>
                <c:pt idx="119">
                  <c:v>7.226413665171914</c:v>
                </c:pt>
                <c:pt idx="120">
                  <c:v>7.502658331381407</c:v>
                </c:pt>
                <c:pt idx="121">
                  <c:v>7.8324480026747194</c:v>
                </c:pt>
                <c:pt idx="122">
                  <c:v>7.9674016312165179</c:v>
                </c:pt>
                <c:pt idx="123">
                  <c:v>8.0055410272938143</c:v>
                </c:pt>
                <c:pt idx="124">
                  <c:v>7.9553066081134718</c:v>
                </c:pt>
                <c:pt idx="125">
                  <c:v>7.9030365457780443</c:v>
                </c:pt>
                <c:pt idx="126">
                  <c:v>7.7453807115368098</c:v>
                </c:pt>
                <c:pt idx="127">
                  <c:v>7.8257358131797981</c:v>
                </c:pt>
                <c:pt idx="128">
                  <c:v>7.8408232337619559</c:v>
                </c:pt>
                <c:pt idx="129">
                  <c:v>7.8047349479002319</c:v>
                </c:pt>
                <c:pt idx="130">
                  <c:v>7.8130258695238517</c:v>
                </c:pt>
                <c:pt idx="131">
                  <c:v>7.5144698080238825</c:v>
                </c:pt>
                <c:pt idx="132">
                  <c:v>7.6204598699261528</c:v>
                </c:pt>
                <c:pt idx="133">
                  <c:v>7.9386973290220162</c:v>
                </c:pt>
                <c:pt idx="134">
                  <c:v>8.3290658937880142</c:v>
                </c:pt>
                <c:pt idx="135">
                  <c:v>8.1031986522744308</c:v>
                </c:pt>
                <c:pt idx="136">
                  <c:v>7.9275907692634044</c:v>
                </c:pt>
                <c:pt idx="137">
                  <c:v>7.9620992802300385</c:v>
                </c:pt>
                <c:pt idx="138">
                  <c:v>7.556002013216057</c:v>
                </c:pt>
                <c:pt idx="139">
                  <c:v>7.5786161573980131</c:v>
                </c:pt>
                <c:pt idx="140">
                  <c:v>7.539819964496381</c:v>
                </c:pt>
                <c:pt idx="141">
                  <c:v>7.4296110318647584</c:v>
                </c:pt>
                <c:pt idx="142">
                  <c:v>7.5171056782124142</c:v>
                </c:pt>
                <c:pt idx="143">
                  <c:v>7.0200569088335874</c:v>
                </c:pt>
                <c:pt idx="144">
                  <c:v>7.0546203505038179</c:v>
                </c:pt>
                <c:pt idx="145">
                  <c:v>7.2636791175186168</c:v>
                </c:pt>
                <c:pt idx="146">
                  <c:v>7.3936326681470748</c:v>
                </c:pt>
                <c:pt idx="147">
                  <c:v>7.3324351783563868</c:v>
                </c:pt>
                <c:pt idx="148">
                  <c:v>7.3273585948948616</c:v>
                </c:pt>
                <c:pt idx="149">
                  <c:v>7.4623414592060522</c:v>
                </c:pt>
                <c:pt idx="150">
                  <c:v>7.0257203161302408</c:v>
                </c:pt>
                <c:pt idx="151">
                  <c:v>7.2751838411977996</c:v>
                </c:pt>
                <c:pt idx="152">
                  <c:v>7.2226177080035248</c:v>
                </c:pt>
                <c:pt idx="153">
                  <c:v>7.0890517432796054</c:v>
                </c:pt>
                <c:pt idx="154">
                  <c:v>7.2219271250052843</c:v>
                </c:pt>
                <c:pt idx="155">
                  <c:v>6.8959602348392766</c:v>
                </c:pt>
                <c:pt idx="156">
                  <c:v>7.0152722555540556</c:v>
                </c:pt>
                <c:pt idx="157">
                  <c:v>7.2014548587220624</c:v>
                </c:pt>
                <c:pt idx="158">
                  <c:v>7.1900173055238801</c:v>
                </c:pt>
                <c:pt idx="159">
                  <c:v>7.3371681164572875</c:v>
                </c:pt>
                <c:pt idx="160">
                  <c:v>7.4860935289650534</c:v>
                </c:pt>
                <c:pt idx="161">
                  <c:v>7.4426507411970331</c:v>
                </c:pt>
                <c:pt idx="162">
                  <c:v>7.1424159532393912</c:v>
                </c:pt>
                <c:pt idx="163">
                  <c:v>7.1764590863902917</c:v>
                </c:pt>
                <c:pt idx="164">
                  <c:v>7.0914416592329479</c:v>
                </c:pt>
                <c:pt idx="165">
                  <c:v>7.1193339798086059</c:v>
                </c:pt>
                <c:pt idx="166">
                  <c:v>7.3099323490559751</c:v>
                </c:pt>
                <c:pt idx="167">
                  <c:v>7.0489684929229535</c:v>
                </c:pt>
                <c:pt idx="168">
                  <c:v>7.1377075313406957</c:v>
                </c:pt>
                <c:pt idx="169">
                  <c:v>7.4070205062512322</c:v>
                </c:pt>
                <c:pt idx="170">
                  <c:v>7.5618364699498697</c:v>
                </c:pt>
                <c:pt idx="171">
                  <c:v>7.5402830681051967</c:v>
                </c:pt>
                <c:pt idx="172">
                  <c:v>7.6992793576772112</c:v>
                </c:pt>
                <c:pt idx="173">
                  <c:v>7.6175102824749628</c:v>
                </c:pt>
                <c:pt idx="174">
                  <c:v>7.8160659910021275</c:v>
                </c:pt>
                <c:pt idx="175">
                  <c:v>7.7573149433696971</c:v>
                </c:pt>
                <c:pt idx="176">
                  <c:v>7.716826809589957</c:v>
                </c:pt>
                <c:pt idx="177">
                  <c:v>7.9008583893224973</c:v>
                </c:pt>
                <c:pt idx="178">
                  <c:v>8.05120258924814</c:v>
                </c:pt>
                <c:pt idx="179">
                  <c:v>7.7583858395003666</c:v>
                </c:pt>
                <c:pt idx="180">
                  <c:v>7.9182447627489951</c:v>
                </c:pt>
                <c:pt idx="181">
                  <c:v>8.2487615934411647</c:v>
                </c:pt>
                <c:pt idx="182">
                  <c:v>8.3382230273295441</c:v>
                </c:pt>
                <c:pt idx="183">
                  <c:v>8.7445166886376793</c:v>
                </c:pt>
                <c:pt idx="184">
                  <c:v>8.8702490955796467</c:v>
                </c:pt>
                <c:pt idx="185">
                  <c:v>8.92879221745644</c:v>
                </c:pt>
                <c:pt idx="186">
                  <c:v>8.9854580808323554</c:v>
                </c:pt>
                <c:pt idx="187">
                  <c:v>8.8976582801045989</c:v>
                </c:pt>
                <c:pt idx="188">
                  <c:v>8.9610371282628059</c:v>
                </c:pt>
                <c:pt idx="189">
                  <c:v>9.0282636183323977</c:v>
                </c:pt>
                <c:pt idx="190">
                  <c:v>9.1270077253757158</c:v>
                </c:pt>
                <c:pt idx="191">
                  <c:v>8.8728286506576293</c:v>
                </c:pt>
                <c:pt idx="192">
                  <c:v>9.0013862872759525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BC6-466F-BC48-BDEF64183FBB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'G2.4A'!$D$4:$D$500</c:f>
              <c:numCache>
                <c:formatCode>#,##0.0</c:formatCode>
                <c:ptCount val="497"/>
                <c:pt idx="0">
                  <c:v>31.704825058452997</c:v>
                </c:pt>
                <c:pt idx="1">
                  <c:v>31.415357740214137</c:v>
                </c:pt>
                <c:pt idx="2">
                  <c:v>31.261079318581533</c:v>
                </c:pt>
                <c:pt idx="3">
                  <c:v>31.664753611315792</c:v>
                </c:pt>
                <c:pt idx="4">
                  <c:v>32.354628889038302</c:v>
                </c:pt>
                <c:pt idx="5">
                  <c:v>32.377135821545338</c:v>
                </c:pt>
                <c:pt idx="6">
                  <c:v>32.270095692613019</c:v>
                </c:pt>
                <c:pt idx="7">
                  <c:v>32.078827615766386</c:v>
                </c:pt>
                <c:pt idx="8">
                  <c:v>31.488644103988825</c:v>
                </c:pt>
                <c:pt idx="9">
                  <c:v>31.281786730434469</c:v>
                </c:pt>
                <c:pt idx="10">
                  <c:v>32.921333889109441</c:v>
                </c:pt>
                <c:pt idx="11">
                  <c:v>31.753758541135234</c:v>
                </c:pt>
                <c:pt idx="12">
                  <c:v>31.976306193978175</c:v>
                </c:pt>
                <c:pt idx="13">
                  <c:v>31.358748703233271</c:v>
                </c:pt>
                <c:pt idx="14">
                  <c:v>31.522335380887174</c:v>
                </c:pt>
                <c:pt idx="15">
                  <c:v>31.603072323838713</c:v>
                </c:pt>
                <c:pt idx="16">
                  <c:v>31.531198631396187</c:v>
                </c:pt>
                <c:pt idx="17">
                  <c:v>32.635109030734988</c:v>
                </c:pt>
                <c:pt idx="18">
                  <c:v>32.28534320363201</c:v>
                </c:pt>
                <c:pt idx="19">
                  <c:v>32.493989066821662</c:v>
                </c:pt>
                <c:pt idx="20">
                  <c:v>32.275161662732977</c:v>
                </c:pt>
                <c:pt idx="21">
                  <c:v>31.902068129275101</c:v>
                </c:pt>
                <c:pt idx="22">
                  <c:v>32.893549163757079</c:v>
                </c:pt>
                <c:pt idx="23">
                  <c:v>31.029039956322148</c:v>
                </c:pt>
                <c:pt idx="24">
                  <c:v>31.097295794423541</c:v>
                </c:pt>
                <c:pt idx="25">
                  <c:v>30.589664504671404</c:v>
                </c:pt>
                <c:pt idx="26">
                  <c:v>30.371058720423012</c:v>
                </c:pt>
                <c:pt idx="27">
                  <c:v>30.169200603484132</c:v>
                </c:pt>
                <c:pt idx="28">
                  <c:v>29.260770017423834</c:v>
                </c:pt>
                <c:pt idx="29">
                  <c:v>25.852621662367714</c:v>
                </c:pt>
                <c:pt idx="30">
                  <c:v>25.398931790454679</c:v>
                </c:pt>
                <c:pt idx="31">
                  <c:v>23.415282470603817</c:v>
                </c:pt>
                <c:pt idx="32">
                  <c:v>21.070713889459782</c:v>
                </c:pt>
                <c:pt idx="33">
                  <c:v>20.593468894074206</c:v>
                </c:pt>
                <c:pt idx="34">
                  <c:v>20.477236601346767</c:v>
                </c:pt>
                <c:pt idx="35">
                  <c:v>17.252427619090806</c:v>
                </c:pt>
                <c:pt idx="36">
                  <c:v>17.712165182536019</c:v>
                </c:pt>
                <c:pt idx="37">
                  <c:v>17.215203061010275</c:v>
                </c:pt>
                <c:pt idx="38">
                  <c:v>17.005225441940613</c:v>
                </c:pt>
                <c:pt idx="39">
                  <c:v>16.095586338372804</c:v>
                </c:pt>
                <c:pt idx="40">
                  <c:v>16.483843202147071</c:v>
                </c:pt>
                <c:pt idx="41">
                  <c:v>15.250430704396685</c:v>
                </c:pt>
                <c:pt idx="42">
                  <c:v>15.12692040887733</c:v>
                </c:pt>
                <c:pt idx="43">
                  <c:v>14.934010279980793</c:v>
                </c:pt>
                <c:pt idx="44">
                  <c:v>15.072161308260617</c:v>
                </c:pt>
                <c:pt idx="45">
                  <c:v>14.961197054897948</c:v>
                </c:pt>
                <c:pt idx="46">
                  <c:v>14.699466608801476</c:v>
                </c:pt>
                <c:pt idx="47">
                  <c:v>12.547688081691252</c:v>
                </c:pt>
                <c:pt idx="48">
                  <c:v>12.484262912271451</c:v>
                </c:pt>
                <c:pt idx="49">
                  <c:v>12.155788840160877</c:v>
                </c:pt>
                <c:pt idx="50">
                  <c:v>12.110191294071532</c:v>
                </c:pt>
                <c:pt idx="51">
                  <c:v>11.649803134342102</c:v>
                </c:pt>
                <c:pt idx="52">
                  <c:v>11.310532134366955</c:v>
                </c:pt>
                <c:pt idx="53">
                  <c:v>10.348378832419026</c:v>
                </c:pt>
                <c:pt idx="54">
                  <c:v>9.9149318287577977</c:v>
                </c:pt>
                <c:pt idx="55">
                  <c:v>9.5003079405356612</c:v>
                </c:pt>
                <c:pt idx="56">
                  <c:v>8.936559586760545</c:v>
                </c:pt>
                <c:pt idx="57">
                  <c:v>9.4295867837170864</c:v>
                </c:pt>
                <c:pt idx="58">
                  <c:v>9.4264743747353634</c:v>
                </c:pt>
                <c:pt idx="59">
                  <c:v>8.9590833319968439</c:v>
                </c:pt>
                <c:pt idx="60">
                  <c:v>8.8518409738502477</c:v>
                </c:pt>
                <c:pt idx="61">
                  <c:v>8.1996379044542564</c:v>
                </c:pt>
                <c:pt idx="62">
                  <c:v>8.0659085769606573</c:v>
                </c:pt>
                <c:pt idx="63">
                  <c:v>8.0409417052199679</c:v>
                </c:pt>
                <c:pt idx="64">
                  <c:v>8.0338808740296432</c:v>
                </c:pt>
                <c:pt idx="65">
                  <c:v>8.1860427165955851</c:v>
                </c:pt>
                <c:pt idx="66">
                  <c:v>8.2717975341909629</c:v>
                </c:pt>
                <c:pt idx="67">
                  <c:v>7.9559268323020715</c:v>
                </c:pt>
                <c:pt idx="68">
                  <c:v>7.823287085789234</c:v>
                </c:pt>
                <c:pt idx="69">
                  <c:v>7.7325664652764967</c:v>
                </c:pt>
                <c:pt idx="70">
                  <c:v>8.0445454242428376</c:v>
                </c:pt>
                <c:pt idx="71">
                  <c:v>7.6911588872296379</c:v>
                </c:pt>
                <c:pt idx="72">
                  <c:v>7.8144978618826331</c:v>
                </c:pt>
                <c:pt idx="73">
                  <c:v>7.5900630517881904</c:v>
                </c:pt>
                <c:pt idx="74">
                  <c:v>7.7465644640895421</c:v>
                </c:pt>
                <c:pt idx="75">
                  <c:v>7.6558994116131025</c:v>
                </c:pt>
                <c:pt idx="76">
                  <c:v>8.1157079642853454</c:v>
                </c:pt>
                <c:pt idx="77">
                  <c:v>7.8938519796271347</c:v>
                </c:pt>
                <c:pt idx="78">
                  <c:v>8.6910590341979113</c:v>
                </c:pt>
                <c:pt idx="79">
                  <c:v>8.2180998427265664</c:v>
                </c:pt>
                <c:pt idx="80">
                  <c:v>8.1544782507927405</c:v>
                </c:pt>
                <c:pt idx="81">
                  <c:v>8.1282733443560353</c:v>
                </c:pt>
                <c:pt idx="82">
                  <c:v>8.54733991782952</c:v>
                </c:pt>
                <c:pt idx="83">
                  <c:v>8.7667574820239746</c:v>
                </c:pt>
                <c:pt idx="84">
                  <c:v>9.1104230701261528</c:v>
                </c:pt>
                <c:pt idx="85">
                  <c:v>9.053848469016204</c:v>
                </c:pt>
                <c:pt idx="86">
                  <c:v>9.5606288066048553</c:v>
                </c:pt>
                <c:pt idx="87">
                  <c:v>9.3464058508135661</c:v>
                </c:pt>
                <c:pt idx="88">
                  <c:v>10.123201870198285</c:v>
                </c:pt>
                <c:pt idx="89">
                  <c:v>10.047237792897587</c:v>
                </c:pt>
                <c:pt idx="90">
                  <c:v>9.454316600401274</c:v>
                </c:pt>
                <c:pt idx="91">
                  <c:v>9.7641865209631611</c:v>
                </c:pt>
                <c:pt idx="92">
                  <c:v>9.1948762802918633</c:v>
                </c:pt>
                <c:pt idx="93">
                  <c:v>9.0660618808159104</c:v>
                </c:pt>
                <c:pt idx="94">
                  <c:v>8.7221740508973049</c:v>
                </c:pt>
                <c:pt idx="95">
                  <c:v>8.0672757645979196</c:v>
                </c:pt>
                <c:pt idx="96">
                  <c:v>7.919406431914271</c:v>
                </c:pt>
                <c:pt idx="97">
                  <c:v>7.6849682556398573</c:v>
                </c:pt>
                <c:pt idx="98">
                  <c:v>7.5256433093923025</c:v>
                </c:pt>
                <c:pt idx="99">
                  <c:v>7.6203021001507238</c:v>
                </c:pt>
                <c:pt idx="100">
                  <c:v>7.913972573678608</c:v>
                </c:pt>
                <c:pt idx="101">
                  <c:v>7.6974159775177311</c:v>
                </c:pt>
                <c:pt idx="102">
                  <c:v>7.8618996121891493</c:v>
                </c:pt>
                <c:pt idx="103">
                  <c:v>7.4898839311391407</c:v>
                </c:pt>
                <c:pt idx="104">
                  <c:v>7.0350936168749554</c:v>
                </c:pt>
                <c:pt idx="105">
                  <c:v>7.1562103119691542</c:v>
                </c:pt>
                <c:pt idx="106">
                  <c:v>6.8708318892364204</c:v>
                </c:pt>
                <c:pt idx="107">
                  <c:v>8.202400535215121</c:v>
                </c:pt>
                <c:pt idx="108">
                  <c:v>7.847215258610631</c:v>
                </c:pt>
                <c:pt idx="109">
                  <c:v>7.4285277259504969</c:v>
                </c:pt>
                <c:pt idx="110">
                  <c:v>7.1963522700912845</c:v>
                </c:pt>
                <c:pt idx="111">
                  <c:v>7.0356463079737166</c:v>
                </c:pt>
                <c:pt idx="112">
                  <c:v>6.9786376479650096</c:v>
                </c:pt>
                <c:pt idx="113">
                  <c:v>6.3567104962168504</c:v>
                </c:pt>
                <c:pt idx="114">
                  <c:v>6.2689205311646123</c:v>
                </c:pt>
                <c:pt idx="115">
                  <c:v>5.9634251707885939</c:v>
                </c:pt>
                <c:pt idx="116">
                  <c:v>5.6911546830785085</c:v>
                </c:pt>
                <c:pt idx="117">
                  <c:v>5.771605106838277</c:v>
                </c:pt>
                <c:pt idx="118">
                  <c:v>5.7509130178600945</c:v>
                </c:pt>
                <c:pt idx="119">
                  <c:v>5.3700171323049037</c:v>
                </c:pt>
                <c:pt idx="120">
                  <c:v>5.4867549742410731</c:v>
                </c:pt>
                <c:pt idx="121">
                  <c:v>5.3828550303623128</c:v>
                </c:pt>
                <c:pt idx="122">
                  <c:v>5.3496160586131074</c:v>
                </c:pt>
                <c:pt idx="123">
                  <c:v>5.2475662899855617</c:v>
                </c:pt>
                <c:pt idx="124">
                  <c:v>5.2528318850353513</c:v>
                </c:pt>
                <c:pt idx="125">
                  <c:v>5.1769628266939467</c:v>
                </c:pt>
                <c:pt idx="126">
                  <c:v>5.2298752983467631</c:v>
                </c:pt>
                <c:pt idx="127">
                  <c:v>5.1276976094291173</c:v>
                </c:pt>
                <c:pt idx="128">
                  <c:v>5.0800866738583244</c:v>
                </c:pt>
                <c:pt idx="129">
                  <c:v>5.103749637770238</c:v>
                </c:pt>
                <c:pt idx="130">
                  <c:v>4.8823726042224491</c:v>
                </c:pt>
                <c:pt idx="131">
                  <c:v>5.0478370209097179</c:v>
                </c:pt>
                <c:pt idx="132">
                  <c:v>5.1052081423133586</c:v>
                </c:pt>
                <c:pt idx="133">
                  <c:v>4.8946343173201523</c:v>
                </c:pt>
                <c:pt idx="134">
                  <c:v>4.9997685322812684</c:v>
                </c:pt>
                <c:pt idx="135">
                  <c:v>5.0432006980725044</c:v>
                </c:pt>
                <c:pt idx="136">
                  <c:v>4.860757054915239</c:v>
                </c:pt>
                <c:pt idx="137">
                  <c:v>4.8563061529552813</c:v>
                </c:pt>
                <c:pt idx="138">
                  <c:v>4.7120496516118893</c:v>
                </c:pt>
                <c:pt idx="139">
                  <c:v>4.5996039063941359</c:v>
                </c:pt>
                <c:pt idx="140">
                  <c:v>4.499001250742249</c:v>
                </c:pt>
                <c:pt idx="141">
                  <c:v>4.4028945879968031</c:v>
                </c:pt>
                <c:pt idx="142">
                  <c:v>4.2973502166221529</c:v>
                </c:pt>
                <c:pt idx="143">
                  <c:v>4.1538741777679773</c:v>
                </c:pt>
                <c:pt idx="144">
                  <c:v>4.1156585655860658</c:v>
                </c:pt>
                <c:pt idx="145">
                  <c:v>4.0101355834835033</c:v>
                </c:pt>
                <c:pt idx="146">
                  <c:v>4.086528055520148</c:v>
                </c:pt>
                <c:pt idx="147">
                  <c:v>4.1371380644116282</c:v>
                </c:pt>
                <c:pt idx="148">
                  <c:v>4.1659938327057091</c:v>
                </c:pt>
                <c:pt idx="149">
                  <c:v>4.2290458566331095</c:v>
                </c:pt>
                <c:pt idx="150">
                  <c:v>4.1281475696187302</c:v>
                </c:pt>
                <c:pt idx="151">
                  <c:v>4.2265707608917822</c:v>
                </c:pt>
                <c:pt idx="152">
                  <c:v>4.22215274985661</c:v>
                </c:pt>
                <c:pt idx="153">
                  <c:v>4.1809833410657911</c:v>
                </c:pt>
                <c:pt idx="154">
                  <c:v>4.3383910208911116</c:v>
                </c:pt>
                <c:pt idx="155">
                  <c:v>4.199970752333952</c:v>
                </c:pt>
                <c:pt idx="156">
                  <c:v>3.7293885334201362</c:v>
                </c:pt>
                <c:pt idx="157">
                  <c:v>3.597208931273749</c:v>
                </c:pt>
                <c:pt idx="158">
                  <c:v>3.5231705463679921</c:v>
                </c:pt>
                <c:pt idx="159">
                  <c:v>3.4994595073112222</c:v>
                </c:pt>
                <c:pt idx="160">
                  <c:v>3.7047159461889194</c:v>
                </c:pt>
                <c:pt idx="161">
                  <c:v>3.7865049308901133</c:v>
                </c:pt>
                <c:pt idx="162">
                  <c:v>3.6401779713665832</c:v>
                </c:pt>
                <c:pt idx="163">
                  <c:v>3.7025843373024974</c:v>
                </c:pt>
                <c:pt idx="164">
                  <c:v>3.6911143310236318</c:v>
                </c:pt>
                <c:pt idx="165">
                  <c:v>3.7161898585733919</c:v>
                </c:pt>
                <c:pt idx="166">
                  <c:v>3.7449640570042395</c:v>
                </c:pt>
                <c:pt idx="167">
                  <c:v>3.610434097903402</c:v>
                </c:pt>
                <c:pt idx="168">
                  <c:v>3.7560611488681266</c:v>
                </c:pt>
                <c:pt idx="169">
                  <c:v>3.669250716017173</c:v>
                </c:pt>
                <c:pt idx="170">
                  <c:v>3.7194209102280724</c:v>
                </c:pt>
                <c:pt idx="171">
                  <c:v>3.7825233699574667</c:v>
                </c:pt>
                <c:pt idx="172">
                  <c:v>3.921621375055202</c:v>
                </c:pt>
                <c:pt idx="173">
                  <c:v>3.8620625069751138</c:v>
                </c:pt>
                <c:pt idx="174">
                  <c:v>4.0084251240371227</c:v>
                </c:pt>
                <c:pt idx="175">
                  <c:v>4.0015758124466947</c:v>
                </c:pt>
                <c:pt idx="176">
                  <c:v>4.0199516668234869</c:v>
                </c:pt>
                <c:pt idx="177">
                  <c:v>4.154955823428617</c:v>
                </c:pt>
                <c:pt idx="178">
                  <c:v>4.2606208336324753</c:v>
                </c:pt>
                <c:pt idx="179">
                  <c:v>4.0966691009068548</c:v>
                </c:pt>
                <c:pt idx="180">
                  <c:v>4.2801141640781051</c:v>
                </c:pt>
                <c:pt idx="181">
                  <c:v>4.2605523605334774</c:v>
                </c:pt>
                <c:pt idx="182">
                  <c:v>4.2655032764662968</c:v>
                </c:pt>
                <c:pt idx="183">
                  <c:v>4.5592637980822897</c:v>
                </c:pt>
                <c:pt idx="184">
                  <c:v>4.8147160715676112</c:v>
                </c:pt>
                <c:pt idx="185">
                  <c:v>4.8577796249472804</c:v>
                </c:pt>
                <c:pt idx="186">
                  <c:v>5.1110138803134886</c:v>
                </c:pt>
                <c:pt idx="187">
                  <c:v>5.1440050827938615</c:v>
                </c:pt>
                <c:pt idx="188">
                  <c:v>5.2447725350709611</c:v>
                </c:pt>
                <c:pt idx="189">
                  <c:v>5.3755088601728032</c:v>
                </c:pt>
                <c:pt idx="190">
                  <c:v>5.4532603438314293</c:v>
                </c:pt>
                <c:pt idx="191">
                  <c:v>5.3783484196166862</c:v>
                </c:pt>
                <c:pt idx="192">
                  <c:v>5.5961844156870182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BC6-466F-BC48-BDEF64183FBB}"/>
            </c:ext>
          </c:extLst>
        </c:ser>
        <c:ser>
          <c:idx val="3"/>
          <c:order val="3"/>
          <c:tx>
            <c:strRef>
              <c:f>'G2.4A'!$E$3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'G2.4A'!$E$4:$E$500</c:f>
              <c:numCache>
                <c:formatCode>#,##0.0</c:formatCode>
                <c:ptCount val="497"/>
                <c:pt idx="0">
                  <c:v>8.2111798074526874</c:v>
                </c:pt>
                <c:pt idx="1">
                  <c:v>8.6783682519114009</c:v>
                </c:pt>
                <c:pt idx="2">
                  <c:v>8.5719824304176431</c:v>
                </c:pt>
                <c:pt idx="3">
                  <c:v>8.1863249512412821</c:v>
                </c:pt>
                <c:pt idx="4">
                  <c:v>8.2309069641436992</c:v>
                </c:pt>
                <c:pt idx="5">
                  <c:v>8.3771534503772749</c:v>
                </c:pt>
                <c:pt idx="6">
                  <c:v>8.8402447555960268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10.499943689991083</c:v>
                </c:pt>
                <c:pt idx="10">
                  <c:v>10.325578882824937</c:v>
                </c:pt>
                <c:pt idx="11">
                  <c:v>8.874783672074555</c:v>
                </c:pt>
                <c:pt idx="12">
                  <c:v>8.8279857002699735</c:v>
                </c:pt>
                <c:pt idx="13">
                  <c:v>8.865842906848572</c:v>
                </c:pt>
                <c:pt idx="14">
                  <c:v>8.342442905376517</c:v>
                </c:pt>
                <c:pt idx="15">
                  <c:v>8.2808409671714429</c:v>
                </c:pt>
                <c:pt idx="16">
                  <c:v>7.8985874576364656</c:v>
                </c:pt>
                <c:pt idx="17">
                  <c:v>7.8088967788086885</c:v>
                </c:pt>
                <c:pt idx="18">
                  <c:v>7.1942212505222889</c:v>
                </c:pt>
                <c:pt idx="19">
                  <c:v>7.1183477698288922</c:v>
                </c:pt>
                <c:pt idx="20">
                  <c:v>6.4631464078096537</c:v>
                </c:pt>
                <c:pt idx="21">
                  <c:v>6.465411435201875</c:v>
                </c:pt>
                <c:pt idx="22">
                  <c:v>6.6420991994260303</c:v>
                </c:pt>
                <c:pt idx="23">
                  <c:v>6.3780222046206028</c:v>
                </c:pt>
                <c:pt idx="24">
                  <c:v>6.5937211425421465</c:v>
                </c:pt>
                <c:pt idx="25">
                  <c:v>6.6024110377028835</c:v>
                </c:pt>
                <c:pt idx="26">
                  <c:v>7.0194682866158313</c:v>
                </c:pt>
                <c:pt idx="27">
                  <c:v>7.6022020273769115</c:v>
                </c:pt>
                <c:pt idx="28">
                  <c:v>7.9947679387011892</c:v>
                </c:pt>
                <c:pt idx="29">
                  <c:v>8.1264347321583497</c:v>
                </c:pt>
                <c:pt idx="30">
                  <c:v>7.5104553152366593</c:v>
                </c:pt>
                <c:pt idx="31">
                  <c:v>6.9629220031759465</c:v>
                </c:pt>
                <c:pt idx="32">
                  <c:v>6.7741383739684107</c:v>
                </c:pt>
                <c:pt idx="33">
                  <c:v>6.7236577669724911</c:v>
                </c:pt>
                <c:pt idx="34">
                  <c:v>7.5575334126386036</c:v>
                </c:pt>
                <c:pt idx="35">
                  <c:v>6.8852487688272275</c:v>
                </c:pt>
                <c:pt idx="36">
                  <c:v>7.3611919774241761</c:v>
                </c:pt>
                <c:pt idx="37">
                  <c:v>7.1633459220169815</c:v>
                </c:pt>
                <c:pt idx="38">
                  <c:v>7.0595331769318097</c:v>
                </c:pt>
                <c:pt idx="39">
                  <c:v>6.7131437776609859</c:v>
                </c:pt>
                <c:pt idx="40">
                  <c:v>6.6008533422898807</c:v>
                </c:pt>
                <c:pt idx="41">
                  <c:v>6.2847640822205868</c:v>
                </c:pt>
                <c:pt idx="42">
                  <c:v>6.4486094650897918</c:v>
                </c:pt>
                <c:pt idx="43">
                  <c:v>6.1438767369470666</c:v>
                </c:pt>
                <c:pt idx="44">
                  <c:v>6.12462487786817</c:v>
                </c:pt>
                <c:pt idx="45">
                  <c:v>5.4887941576235955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6.4202232168142892</c:v>
                </c:pt>
                <c:pt idx="49">
                  <c:v>6.0337941684741674</c:v>
                </c:pt>
                <c:pt idx="50">
                  <c:v>6.2555848228379523</c:v>
                </c:pt>
                <c:pt idx="51">
                  <c:v>6.2811759477580456</c:v>
                </c:pt>
                <c:pt idx="52">
                  <c:v>6.2418397268997587</c:v>
                </c:pt>
                <c:pt idx="53">
                  <c:v>6.1349522699474601</c:v>
                </c:pt>
                <c:pt idx="54">
                  <c:v>6.2426190625434117</c:v>
                </c:pt>
                <c:pt idx="55">
                  <c:v>6.0827140452662727</c:v>
                </c:pt>
                <c:pt idx="56">
                  <c:v>6.19112564900741</c:v>
                </c:pt>
                <c:pt idx="57">
                  <c:v>6.0933452518051467</c:v>
                </c:pt>
                <c:pt idx="58">
                  <c:v>6.0811370872643344</c:v>
                </c:pt>
                <c:pt idx="59">
                  <c:v>6.2451821557240015</c:v>
                </c:pt>
                <c:pt idx="60">
                  <c:v>6.4346659368347563</c:v>
                </c:pt>
                <c:pt idx="61">
                  <c:v>6.6244608409385517</c:v>
                </c:pt>
                <c:pt idx="62">
                  <c:v>6.8563492768133276</c:v>
                </c:pt>
                <c:pt idx="63">
                  <c:v>6.8186953041073357</c:v>
                </c:pt>
                <c:pt idx="64">
                  <c:v>6.8353854517102732</c:v>
                </c:pt>
                <c:pt idx="65">
                  <c:v>7.0717883248988187</c:v>
                </c:pt>
                <c:pt idx="66">
                  <c:v>7.3511632408434675</c:v>
                </c:pt>
                <c:pt idx="67">
                  <c:v>7.2251801629079528</c:v>
                </c:pt>
                <c:pt idx="68">
                  <c:v>7.6965268391808248</c:v>
                </c:pt>
                <c:pt idx="69">
                  <c:v>7.6979618380021666</c:v>
                </c:pt>
                <c:pt idx="70">
                  <c:v>7.8378920003605241</c:v>
                </c:pt>
                <c:pt idx="71">
                  <c:v>7.6652139653355471</c:v>
                </c:pt>
                <c:pt idx="72">
                  <c:v>8.1021983447149655</c:v>
                </c:pt>
                <c:pt idx="73">
                  <c:v>8.1199044498087396</c:v>
                </c:pt>
                <c:pt idx="74">
                  <c:v>8.753271388480675</c:v>
                </c:pt>
                <c:pt idx="75">
                  <c:v>8.8183983095864384</c:v>
                </c:pt>
                <c:pt idx="76">
                  <c:v>8.7016122980923889</c:v>
                </c:pt>
                <c:pt idx="77">
                  <c:v>8.4655182779950664</c:v>
                </c:pt>
                <c:pt idx="78">
                  <c:v>8.0518987293234794</c:v>
                </c:pt>
                <c:pt idx="79">
                  <c:v>8.4237112883819556</c:v>
                </c:pt>
                <c:pt idx="80">
                  <c:v>8.5020893975915541</c:v>
                </c:pt>
                <c:pt idx="81">
                  <c:v>7.9951794227510948</c:v>
                </c:pt>
                <c:pt idx="82">
                  <c:v>8.187625495495519</c:v>
                </c:pt>
                <c:pt idx="83">
                  <c:v>7.451512131203117</c:v>
                </c:pt>
                <c:pt idx="84">
                  <c:v>7.9607145502587944</c:v>
                </c:pt>
                <c:pt idx="85">
                  <c:v>8.2573403215852359</c:v>
                </c:pt>
                <c:pt idx="86">
                  <c:v>8.1525750333747116</c:v>
                </c:pt>
                <c:pt idx="87">
                  <c:v>8.4669550867517422</c:v>
                </c:pt>
                <c:pt idx="88">
                  <c:v>8.6930380647754717</c:v>
                </c:pt>
                <c:pt idx="89">
                  <c:v>8.6961102206959637</c:v>
                </c:pt>
                <c:pt idx="90">
                  <c:v>8.2759008864293087</c:v>
                </c:pt>
                <c:pt idx="91">
                  <c:v>8.5094384666912077</c:v>
                </c:pt>
                <c:pt idx="92">
                  <c:v>8.4040552916550268</c:v>
                </c:pt>
                <c:pt idx="93">
                  <c:v>8.4025700827501986</c:v>
                </c:pt>
                <c:pt idx="94">
                  <c:v>7.8009773108072897</c:v>
                </c:pt>
                <c:pt idx="95">
                  <c:v>7.6872406175538082</c:v>
                </c:pt>
                <c:pt idx="96">
                  <c:v>8.1802701969349378</c:v>
                </c:pt>
                <c:pt idx="97">
                  <c:v>8.5010874759927937</c:v>
                </c:pt>
                <c:pt idx="98">
                  <c:v>8.4616052646812836</c:v>
                </c:pt>
                <c:pt idx="99">
                  <c:v>9.0876767160491667</c:v>
                </c:pt>
                <c:pt idx="100">
                  <c:v>8.957580161330629</c:v>
                </c:pt>
                <c:pt idx="101">
                  <c:v>8.7327947517789823</c:v>
                </c:pt>
                <c:pt idx="102">
                  <c:v>8.6505919740246782</c:v>
                </c:pt>
                <c:pt idx="103">
                  <c:v>8.3658144693238938</c:v>
                </c:pt>
                <c:pt idx="104">
                  <c:v>8.1483039274665288</c:v>
                </c:pt>
                <c:pt idx="105">
                  <c:v>7.9432182580309556</c:v>
                </c:pt>
                <c:pt idx="106">
                  <c:v>7.7767549222137848</c:v>
                </c:pt>
                <c:pt idx="107">
                  <c:v>7.2056865070215164</c:v>
                </c:pt>
                <c:pt idx="108">
                  <c:v>7.3344555230146842</c:v>
                </c:pt>
                <c:pt idx="109">
                  <c:v>7.2105981410178615</c:v>
                </c:pt>
                <c:pt idx="110">
                  <c:v>7.1862777285767869</c:v>
                </c:pt>
                <c:pt idx="111">
                  <c:v>7.4394070676273181</c:v>
                </c:pt>
                <c:pt idx="112">
                  <c:v>7.3587342273462886</c:v>
                </c:pt>
                <c:pt idx="113">
                  <c:v>7.4175942105925738</c:v>
                </c:pt>
                <c:pt idx="114">
                  <c:v>7.8566712987973739</c:v>
                </c:pt>
                <c:pt idx="115">
                  <c:v>7.6090635315364663</c:v>
                </c:pt>
                <c:pt idx="116">
                  <c:v>7.3088122866517899</c:v>
                </c:pt>
                <c:pt idx="117">
                  <c:v>7.2873055613228841</c:v>
                </c:pt>
                <c:pt idx="118">
                  <c:v>7.3348902338604871</c:v>
                </c:pt>
                <c:pt idx="119">
                  <c:v>6.9028287879228003</c:v>
                </c:pt>
                <c:pt idx="120">
                  <c:v>6.9815287469030451</c:v>
                </c:pt>
                <c:pt idx="121">
                  <c:v>7.1519254833771928</c:v>
                </c:pt>
                <c:pt idx="122">
                  <c:v>7.2184014451509944</c:v>
                </c:pt>
                <c:pt idx="123">
                  <c:v>6.6580850524415904</c:v>
                </c:pt>
                <c:pt idx="124">
                  <c:v>6.7263672496372413</c:v>
                </c:pt>
                <c:pt idx="125">
                  <c:v>7.0279008057375396</c:v>
                </c:pt>
                <c:pt idx="126">
                  <c:v>7.0798190481916379</c:v>
                </c:pt>
                <c:pt idx="127">
                  <c:v>7.1069055026297194</c:v>
                </c:pt>
                <c:pt idx="128">
                  <c:v>7.1886707752738763</c:v>
                </c:pt>
                <c:pt idx="129">
                  <c:v>7.4983240693102031</c:v>
                </c:pt>
                <c:pt idx="130">
                  <c:v>7.6281464993444033</c:v>
                </c:pt>
                <c:pt idx="131">
                  <c:v>7.8332845581821369</c:v>
                </c:pt>
                <c:pt idx="132">
                  <c:v>8.0475733089637274</c:v>
                </c:pt>
                <c:pt idx="133">
                  <c:v>8.1691410018893134</c:v>
                </c:pt>
                <c:pt idx="134">
                  <c:v>8.5172894597588584</c:v>
                </c:pt>
                <c:pt idx="135">
                  <c:v>8.5608557349816614</c:v>
                </c:pt>
                <c:pt idx="136">
                  <c:v>8.5480107200999669</c:v>
                </c:pt>
                <c:pt idx="137">
                  <c:v>9.3031286097529584</c:v>
                </c:pt>
                <c:pt idx="138">
                  <c:v>9.3297931393521178</c:v>
                </c:pt>
                <c:pt idx="139">
                  <c:v>9.6293482144888944</c:v>
                </c:pt>
                <c:pt idx="140">
                  <c:v>9.7991715513977464</c:v>
                </c:pt>
                <c:pt idx="141">
                  <c:v>9.8049621992900438</c:v>
                </c:pt>
                <c:pt idx="142">
                  <c:v>9.7985221766851041</c:v>
                </c:pt>
                <c:pt idx="143">
                  <c:v>10.803566654508872</c:v>
                </c:pt>
                <c:pt idx="144">
                  <c:v>11.31944847556723</c:v>
                </c:pt>
                <c:pt idx="145">
                  <c:v>11.513367733929968</c:v>
                </c:pt>
                <c:pt idx="146">
                  <c:v>11.367659417019377</c:v>
                </c:pt>
                <c:pt idx="147">
                  <c:v>11.40825709050311</c:v>
                </c:pt>
                <c:pt idx="148">
                  <c:v>11.415549225611047</c:v>
                </c:pt>
                <c:pt idx="149">
                  <c:v>12.309582167542956</c:v>
                </c:pt>
                <c:pt idx="150">
                  <c:v>12.042027399708962</c:v>
                </c:pt>
                <c:pt idx="151">
                  <c:v>12.053878079846394</c:v>
                </c:pt>
                <c:pt idx="152">
                  <c:v>12.230299205410839</c:v>
                </c:pt>
                <c:pt idx="153">
                  <c:v>12.237142900165379</c:v>
                </c:pt>
                <c:pt idx="154">
                  <c:v>12.338939704284311</c:v>
                </c:pt>
                <c:pt idx="155">
                  <c:v>11.939780450501441</c:v>
                </c:pt>
                <c:pt idx="156">
                  <c:v>11.84311227918209</c:v>
                </c:pt>
                <c:pt idx="157">
                  <c:v>10.742694388995735</c:v>
                </c:pt>
                <c:pt idx="158">
                  <c:v>10.809100425102296</c:v>
                </c:pt>
                <c:pt idx="159">
                  <c:v>10.484713740390658</c:v>
                </c:pt>
                <c:pt idx="160">
                  <c:v>10.174696730494482</c:v>
                </c:pt>
                <c:pt idx="161">
                  <c:v>10.706336549626357</c:v>
                </c:pt>
                <c:pt idx="162">
                  <c:v>10.66912060065931</c:v>
                </c:pt>
                <c:pt idx="163">
                  <c:v>10.592682775804906</c:v>
                </c:pt>
                <c:pt idx="164">
                  <c:v>10.443789779515312</c:v>
                </c:pt>
                <c:pt idx="165">
                  <c:v>10.403895609659839</c:v>
                </c:pt>
                <c:pt idx="166">
                  <c:v>10.510103160282686</c:v>
                </c:pt>
                <c:pt idx="167">
                  <c:v>10.608892512377441</c:v>
                </c:pt>
                <c:pt idx="168">
                  <c:v>10.830764461706682</c:v>
                </c:pt>
                <c:pt idx="169">
                  <c:v>10.806359757518106</c:v>
                </c:pt>
                <c:pt idx="170">
                  <c:v>10.836268035857179</c:v>
                </c:pt>
                <c:pt idx="171">
                  <c:v>10.832929125674937</c:v>
                </c:pt>
                <c:pt idx="172">
                  <c:v>10.934294946514962</c:v>
                </c:pt>
                <c:pt idx="173">
                  <c:v>11.365765348049406</c:v>
                </c:pt>
                <c:pt idx="174">
                  <c:v>11.354795580091331</c:v>
                </c:pt>
                <c:pt idx="175">
                  <c:v>11.213645730223005</c:v>
                </c:pt>
                <c:pt idx="176">
                  <c:v>10.873459911932128</c:v>
                </c:pt>
                <c:pt idx="177">
                  <c:v>11.082293754998238</c:v>
                </c:pt>
                <c:pt idx="178">
                  <c:v>11.22189774663685</c:v>
                </c:pt>
                <c:pt idx="179">
                  <c:v>11.764791920618736</c:v>
                </c:pt>
                <c:pt idx="180">
                  <c:v>11.927458705724144</c:v>
                </c:pt>
                <c:pt idx="181">
                  <c:v>11.957453277570227</c:v>
                </c:pt>
                <c:pt idx="182">
                  <c:v>11.64195988385889</c:v>
                </c:pt>
                <c:pt idx="183">
                  <c:v>11.915086306438997</c:v>
                </c:pt>
                <c:pt idx="184">
                  <c:v>11.898594206194923</c:v>
                </c:pt>
                <c:pt idx="185">
                  <c:v>12.037671801940448</c:v>
                </c:pt>
                <c:pt idx="186">
                  <c:v>11.832329797157305</c:v>
                </c:pt>
                <c:pt idx="187">
                  <c:v>11.707825434494771</c:v>
                </c:pt>
                <c:pt idx="188">
                  <c:v>11.635729533759605</c:v>
                </c:pt>
                <c:pt idx="189">
                  <c:v>11.467524389352464</c:v>
                </c:pt>
                <c:pt idx="190">
                  <c:v>11.573756378899118</c:v>
                </c:pt>
                <c:pt idx="191">
                  <c:v>12.134979537181781</c:v>
                </c:pt>
                <c:pt idx="192">
                  <c:v>12.316064727961191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BC6-466F-BC48-BDEF64183FBB}"/>
            </c:ext>
          </c:extLst>
        </c:ser>
        <c:ser>
          <c:idx val="7"/>
          <c:order val="4"/>
          <c:tx>
            <c:strRef>
              <c:f>'G2.4A'!$F$3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cat>
            <c:numRef>
              <c:f>'G2.4A'!$A$4:$A$500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</c:numCache>
            </c:numRef>
          </c:cat>
          <c:val>
            <c:numRef>
              <c:f>'G2.4A'!$F$4:$F$500</c:f>
              <c:numCache>
                <c:formatCode>#,##0.0</c:formatCode>
                <c:ptCount val="497"/>
                <c:pt idx="0">
                  <c:v>25.463566531367356</c:v>
                </c:pt>
                <c:pt idx="1">
                  <c:v>25.703165082690937</c:v>
                </c:pt>
                <c:pt idx="2">
                  <c:v>26.207534490735121</c:v>
                </c:pt>
                <c:pt idx="3">
                  <c:v>25.967020893470647</c:v>
                </c:pt>
                <c:pt idx="4">
                  <c:v>25.41300805753605</c:v>
                </c:pt>
                <c:pt idx="5">
                  <c:v>24.51364853729627</c:v>
                </c:pt>
                <c:pt idx="6">
                  <c:v>24.081181326934104</c:v>
                </c:pt>
                <c:pt idx="7">
                  <c:v>23.72464570947561</c:v>
                </c:pt>
                <c:pt idx="8">
                  <c:v>22.221537170678005</c:v>
                </c:pt>
                <c:pt idx="9">
                  <c:v>22.223424839699316</c:v>
                </c:pt>
                <c:pt idx="10">
                  <c:v>21.997103379189774</c:v>
                </c:pt>
                <c:pt idx="11">
                  <c:v>21.304589030173915</c:v>
                </c:pt>
                <c:pt idx="12">
                  <c:v>21.322954623658251</c:v>
                </c:pt>
                <c:pt idx="13">
                  <c:v>20.643882334991886</c:v>
                </c:pt>
                <c:pt idx="14">
                  <c:v>20.464957830751167</c:v>
                </c:pt>
                <c:pt idx="15">
                  <c:v>19.781265866676577</c:v>
                </c:pt>
                <c:pt idx="16">
                  <c:v>19.406894178305812</c:v>
                </c:pt>
                <c:pt idx="17">
                  <c:v>19.151310782121836</c:v>
                </c:pt>
                <c:pt idx="18">
                  <c:v>18.286638003032728</c:v>
                </c:pt>
                <c:pt idx="19">
                  <c:v>18.33338771004631</c:v>
                </c:pt>
                <c:pt idx="20">
                  <c:v>17.812632936097028</c:v>
                </c:pt>
                <c:pt idx="21">
                  <c:v>17.294284765879635</c:v>
                </c:pt>
                <c:pt idx="22">
                  <c:v>17.380471618305851</c:v>
                </c:pt>
                <c:pt idx="23">
                  <c:v>16.47457222380698</c:v>
                </c:pt>
                <c:pt idx="24">
                  <c:v>16.00416435106953</c:v>
                </c:pt>
                <c:pt idx="25">
                  <c:v>15.684895396437915</c:v>
                </c:pt>
                <c:pt idx="26">
                  <c:v>15.476142672240272</c:v>
                </c:pt>
                <c:pt idx="27">
                  <c:v>15.306499531334222</c:v>
                </c:pt>
                <c:pt idx="28">
                  <c:v>15.165987838599264</c:v>
                </c:pt>
                <c:pt idx="29">
                  <c:v>13.876864740729612</c:v>
                </c:pt>
                <c:pt idx="30">
                  <c:v>13.415685254139772</c:v>
                </c:pt>
                <c:pt idx="31">
                  <c:v>12.655690508124222</c:v>
                </c:pt>
                <c:pt idx="32">
                  <c:v>11.860660187747934</c:v>
                </c:pt>
                <c:pt idx="33">
                  <c:v>11.514846438371078</c:v>
                </c:pt>
                <c:pt idx="34">
                  <c:v>11.002996894594784</c:v>
                </c:pt>
                <c:pt idx="35">
                  <c:v>9.8273849076952278</c:v>
                </c:pt>
                <c:pt idx="36">
                  <c:v>10.065222229569908</c:v>
                </c:pt>
                <c:pt idx="37">
                  <c:v>9.9608725594031444</c:v>
                </c:pt>
                <c:pt idx="38">
                  <c:v>9.86449840706873</c:v>
                </c:pt>
                <c:pt idx="39">
                  <c:v>9.6788860388385984</c:v>
                </c:pt>
                <c:pt idx="40">
                  <c:v>9.8090030090872204</c:v>
                </c:pt>
                <c:pt idx="41">
                  <c:v>9.4531067054037194</c:v>
                </c:pt>
                <c:pt idx="42">
                  <c:v>9.7739026414361501</c:v>
                </c:pt>
                <c:pt idx="43">
                  <c:v>9.2247241082846809</c:v>
                </c:pt>
                <c:pt idx="44">
                  <c:v>8.635524203414402</c:v>
                </c:pt>
                <c:pt idx="45">
                  <c:v>8.6858470313272864</c:v>
                </c:pt>
                <c:pt idx="46">
                  <c:v>8.7373319080508249</c:v>
                </c:pt>
                <c:pt idx="47">
                  <c:v>8.0716524801923288</c:v>
                </c:pt>
                <c:pt idx="48">
                  <c:v>8.3353120251170907</c:v>
                </c:pt>
                <c:pt idx="49">
                  <c:v>8.0109686952895611</c:v>
                </c:pt>
                <c:pt idx="50">
                  <c:v>7.9314744209881729</c:v>
                </c:pt>
                <c:pt idx="51">
                  <c:v>7.9415984175715648</c:v>
                </c:pt>
                <c:pt idx="52">
                  <c:v>7.6900521851189092</c:v>
                </c:pt>
                <c:pt idx="53">
                  <c:v>7.2988256319173956</c:v>
                </c:pt>
                <c:pt idx="54">
                  <c:v>7.2629696637924077</c:v>
                </c:pt>
                <c:pt idx="55">
                  <c:v>6.80182300563271</c:v>
                </c:pt>
                <c:pt idx="56">
                  <c:v>6.5941876314241421</c:v>
                </c:pt>
                <c:pt idx="57">
                  <c:v>6.6242556312182863</c:v>
                </c:pt>
                <c:pt idx="58">
                  <c:v>6.2691387481011791</c:v>
                </c:pt>
                <c:pt idx="59">
                  <c:v>6.3751410516758362</c:v>
                </c:pt>
                <c:pt idx="60">
                  <c:v>6.3362437840621721</c:v>
                </c:pt>
                <c:pt idx="61">
                  <c:v>6.3830397143041999</c:v>
                </c:pt>
                <c:pt idx="62">
                  <c:v>6.549592628662519</c:v>
                </c:pt>
                <c:pt idx="63">
                  <c:v>6.5191873312390411</c:v>
                </c:pt>
                <c:pt idx="64">
                  <c:v>6.2765224190924016</c:v>
                </c:pt>
                <c:pt idx="65">
                  <c:v>6.8373230260521982</c:v>
                </c:pt>
                <c:pt idx="66">
                  <c:v>6.4112179179859572</c:v>
                </c:pt>
                <c:pt idx="67">
                  <c:v>6.448521176793526</c:v>
                </c:pt>
                <c:pt idx="68">
                  <c:v>6.3738117650903847</c:v>
                </c:pt>
                <c:pt idx="69">
                  <c:v>6.587229762994613</c:v>
                </c:pt>
                <c:pt idx="70">
                  <c:v>6.5283809582580874</c:v>
                </c:pt>
                <c:pt idx="71">
                  <c:v>6.6279056087722195</c:v>
                </c:pt>
                <c:pt idx="72">
                  <c:v>6.8836234217583119</c:v>
                </c:pt>
                <c:pt idx="73">
                  <c:v>7.0014764860783343</c:v>
                </c:pt>
                <c:pt idx="74">
                  <c:v>7.1457620460214715</c:v>
                </c:pt>
                <c:pt idx="75">
                  <c:v>7.1277104804725475</c:v>
                </c:pt>
                <c:pt idx="76">
                  <c:v>7.3667106647697169</c:v>
                </c:pt>
                <c:pt idx="77">
                  <c:v>7.4391026466568757</c:v>
                </c:pt>
                <c:pt idx="78">
                  <c:v>8.3357727707491254</c:v>
                </c:pt>
                <c:pt idx="79">
                  <c:v>8.6847317655524492</c:v>
                </c:pt>
                <c:pt idx="80">
                  <c:v>8.5040616142051793</c:v>
                </c:pt>
                <c:pt idx="81">
                  <c:v>8.6645847246032091</c:v>
                </c:pt>
                <c:pt idx="82">
                  <c:v>9.169345336331638</c:v>
                </c:pt>
                <c:pt idx="83">
                  <c:v>8.8950899001130299</c:v>
                </c:pt>
                <c:pt idx="84">
                  <c:v>9.1533156233568764</c:v>
                </c:pt>
                <c:pt idx="85">
                  <c:v>9.3251174357844135</c:v>
                </c:pt>
                <c:pt idx="86">
                  <c:v>9.5590048679082251</c:v>
                </c:pt>
                <c:pt idx="87">
                  <c:v>9.698710107163004</c:v>
                </c:pt>
                <c:pt idx="88">
                  <c:v>9.9209793416048502</c:v>
                </c:pt>
                <c:pt idx="89">
                  <c:v>9.6765572167412124</c:v>
                </c:pt>
                <c:pt idx="90">
                  <c:v>9.5101341515466959</c:v>
                </c:pt>
                <c:pt idx="91">
                  <c:v>9.6776807688895232</c:v>
                </c:pt>
                <c:pt idx="92">
                  <c:v>9.5202993490320438</c:v>
                </c:pt>
                <c:pt idx="93">
                  <c:v>9.536016756200338</c:v>
                </c:pt>
                <c:pt idx="94">
                  <c:v>9.6112619465874936</c:v>
                </c:pt>
                <c:pt idx="95">
                  <c:v>9.6920731855333795</c:v>
                </c:pt>
                <c:pt idx="96">
                  <c:v>9.8470376841910578</c:v>
                </c:pt>
                <c:pt idx="97">
                  <c:v>9.8462479087635852</c:v>
                </c:pt>
                <c:pt idx="98">
                  <c:v>9.9191455823069692</c:v>
                </c:pt>
                <c:pt idx="99">
                  <c:v>9.5255340172900684</c:v>
                </c:pt>
                <c:pt idx="100">
                  <c:v>9.4314700429105898</c:v>
                </c:pt>
                <c:pt idx="101">
                  <c:v>9.3000428397720079</c:v>
                </c:pt>
                <c:pt idx="102">
                  <c:v>9.125165402294563</c:v>
                </c:pt>
                <c:pt idx="103">
                  <c:v>8.7135321649934845</c:v>
                </c:pt>
                <c:pt idx="104">
                  <c:v>8.0996371983143494</c:v>
                </c:pt>
                <c:pt idx="105">
                  <c:v>8.0475254645988343</c:v>
                </c:pt>
                <c:pt idx="106">
                  <c:v>7.7082961981466287</c:v>
                </c:pt>
                <c:pt idx="107">
                  <c:v>7.7567511275600003</c:v>
                </c:pt>
                <c:pt idx="108">
                  <c:v>7.8149066391459101</c:v>
                </c:pt>
                <c:pt idx="109">
                  <c:v>7.8007474925872833</c:v>
                </c:pt>
                <c:pt idx="110">
                  <c:v>7.5715884297933673</c:v>
                </c:pt>
                <c:pt idx="111">
                  <c:v>7.3885256163242214</c:v>
                </c:pt>
                <c:pt idx="112">
                  <c:v>7.3291519268601073</c:v>
                </c:pt>
                <c:pt idx="113">
                  <c:v>7.2809174413331093</c:v>
                </c:pt>
                <c:pt idx="114">
                  <c:v>7.2337195606121503</c:v>
                </c:pt>
                <c:pt idx="115">
                  <c:v>7.0809368001060742</c:v>
                </c:pt>
                <c:pt idx="116">
                  <c:v>6.9257816947421684</c:v>
                </c:pt>
                <c:pt idx="117">
                  <c:v>6.839359291945688</c:v>
                </c:pt>
                <c:pt idx="118">
                  <c:v>6.8723372553211215</c:v>
                </c:pt>
                <c:pt idx="119">
                  <c:v>6.7185832773677836</c:v>
                </c:pt>
                <c:pt idx="120">
                  <c:v>6.8132305653785377</c:v>
                </c:pt>
                <c:pt idx="121">
                  <c:v>6.7956211577264174</c:v>
                </c:pt>
                <c:pt idx="122">
                  <c:v>7.0139040218826247</c:v>
                </c:pt>
                <c:pt idx="123">
                  <c:v>6.8398201131874536</c:v>
                </c:pt>
                <c:pt idx="124">
                  <c:v>6.7656091788870976</c:v>
                </c:pt>
                <c:pt idx="125">
                  <c:v>6.9323153123237455</c:v>
                </c:pt>
                <c:pt idx="126">
                  <c:v>6.8232033310291369</c:v>
                </c:pt>
                <c:pt idx="127">
                  <c:v>6.8266820076917458</c:v>
                </c:pt>
                <c:pt idx="128">
                  <c:v>6.5796507930055146</c:v>
                </c:pt>
                <c:pt idx="129">
                  <c:v>6.596970737080281</c:v>
                </c:pt>
                <c:pt idx="130">
                  <c:v>6.4475195288347606</c:v>
                </c:pt>
                <c:pt idx="131">
                  <c:v>6.5598193790941943</c:v>
                </c:pt>
                <c:pt idx="132">
                  <c:v>6.7521049612386532</c:v>
                </c:pt>
                <c:pt idx="133">
                  <c:v>6.86986501828813</c:v>
                </c:pt>
                <c:pt idx="134">
                  <c:v>6.9036031950729555</c:v>
                </c:pt>
                <c:pt idx="135">
                  <c:v>6.7799399719779698</c:v>
                </c:pt>
                <c:pt idx="136">
                  <c:v>6.7195440721166015</c:v>
                </c:pt>
                <c:pt idx="137">
                  <c:v>6.8958760004447583</c:v>
                </c:pt>
                <c:pt idx="138">
                  <c:v>6.7613472619501813</c:v>
                </c:pt>
                <c:pt idx="139">
                  <c:v>6.8053590067105674</c:v>
                </c:pt>
                <c:pt idx="140">
                  <c:v>6.7194939452356941</c:v>
                </c:pt>
                <c:pt idx="141">
                  <c:v>6.6633022966352407</c:v>
                </c:pt>
                <c:pt idx="142">
                  <c:v>6.642967624609752</c:v>
                </c:pt>
                <c:pt idx="143">
                  <c:v>6.5856828716633053</c:v>
                </c:pt>
                <c:pt idx="144">
                  <c:v>6.5937451035806447</c:v>
                </c:pt>
                <c:pt idx="145">
                  <c:v>6.4859361136508191</c:v>
                </c:pt>
                <c:pt idx="146">
                  <c:v>6.6214651096033261</c:v>
                </c:pt>
                <c:pt idx="147">
                  <c:v>6.5132601541180453</c:v>
                </c:pt>
                <c:pt idx="148">
                  <c:v>6.5058566384188481</c:v>
                </c:pt>
                <c:pt idx="149">
                  <c:v>6.6657368312761411</c:v>
                </c:pt>
                <c:pt idx="150">
                  <c:v>6.5819682939681936</c:v>
                </c:pt>
                <c:pt idx="151">
                  <c:v>6.667306021969682</c:v>
                </c:pt>
                <c:pt idx="152">
                  <c:v>6.6462046673590338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6.5847115209949383</c:v>
                </c:pt>
                <c:pt idx="156">
                  <c:v>6.6206207502071388</c:v>
                </c:pt>
                <c:pt idx="157">
                  <c:v>6.5578734754184378</c:v>
                </c:pt>
                <c:pt idx="158">
                  <c:v>6.4751650696178382</c:v>
                </c:pt>
                <c:pt idx="159">
                  <c:v>6.5193430597600619</c:v>
                </c:pt>
                <c:pt idx="160">
                  <c:v>6.4792672547702308</c:v>
                </c:pt>
                <c:pt idx="161">
                  <c:v>6.7096175546889745</c:v>
                </c:pt>
                <c:pt idx="162">
                  <c:v>6.5224504735928344</c:v>
                </c:pt>
                <c:pt idx="163">
                  <c:v>6.438438961932607</c:v>
                </c:pt>
                <c:pt idx="164">
                  <c:v>6.4747458976877033</c:v>
                </c:pt>
                <c:pt idx="165">
                  <c:v>6.5699301994564632</c:v>
                </c:pt>
                <c:pt idx="166">
                  <c:v>6.5018634209553259</c:v>
                </c:pt>
                <c:pt idx="167">
                  <c:v>6.6451001491349659</c:v>
                </c:pt>
                <c:pt idx="168">
                  <c:v>6.7363315911310986</c:v>
                </c:pt>
                <c:pt idx="169">
                  <c:v>6.7460570351631812</c:v>
                </c:pt>
                <c:pt idx="170">
                  <c:v>6.8914682843780017</c:v>
                </c:pt>
                <c:pt idx="171">
                  <c:v>6.9142323416700728</c:v>
                </c:pt>
                <c:pt idx="172">
                  <c:v>7.0918123477350958</c:v>
                </c:pt>
                <c:pt idx="173">
                  <c:v>7.2166606301959613</c:v>
                </c:pt>
                <c:pt idx="174">
                  <c:v>7.3649912222446208</c:v>
                </c:pt>
                <c:pt idx="175">
                  <c:v>7.3856031906819961</c:v>
                </c:pt>
                <c:pt idx="176">
                  <c:v>7.3081966036445607</c:v>
                </c:pt>
                <c:pt idx="177">
                  <c:v>7.4797627135251306</c:v>
                </c:pt>
                <c:pt idx="178">
                  <c:v>7.9459489792987679</c:v>
                </c:pt>
                <c:pt idx="179">
                  <c:v>7.9153104702503185</c:v>
                </c:pt>
                <c:pt idx="180">
                  <c:v>8.7168952832956244</c:v>
                </c:pt>
                <c:pt idx="181">
                  <c:v>8.8775893906390149</c:v>
                </c:pt>
                <c:pt idx="182">
                  <c:v>8.970438500169017</c:v>
                </c:pt>
                <c:pt idx="183">
                  <c:v>9.1295724045981448</c:v>
                </c:pt>
                <c:pt idx="184">
                  <c:v>9.3264226174921792</c:v>
                </c:pt>
                <c:pt idx="185">
                  <c:v>9.4750637056719835</c:v>
                </c:pt>
                <c:pt idx="186">
                  <c:v>9.609728355793818</c:v>
                </c:pt>
                <c:pt idx="187">
                  <c:v>9.6841952269671747</c:v>
                </c:pt>
                <c:pt idx="188">
                  <c:v>9.6579677446219812</c:v>
                </c:pt>
                <c:pt idx="189">
                  <c:v>9.6913243426901499</c:v>
                </c:pt>
                <c:pt idx="190">
                  <c:v>9.9342408537061448</c:v>
                </c:pt>
                <c:pt idx="191">
                  <c:v>9.9405994462650344</c:v>
                </c:pt>
                <c:pt idx="192">
                  <c:v>10.287486686170034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BC6-466F-BC48-BDEF6418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375232"/>
        <c:axId val="248935456"/>
      </c:lineChart>
      <c:dateAx>
        <c:axId val="245375232"/>
        <c:scaling>
          <c:orientation val="minMax"/>
          <c:min val="42736"/>
        </c:scaling>
        <c:delete val="0"/>
        <c:axPos val="b"/>
        <c:numFmt formatCode="mmm\-yy" sourceLinked="1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48935456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248935456"/>
        <c:scaling>
          <c:orientation val="minMax"/>
          <c:max val="13"/>
          <c:min val="3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245375232"/>
        <c:crosses val="autoZero"/>
        <c:crossBetween val="midCat"/>
        <c:majorUnit val="2"/>
        <c:minorUnit val="2"/>
      </c:valAx>
      <c:spPr>
        <a:solidFill>
          <a:srgbClr val="F0DCDC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302387988470322"/>
          <c:y val="0.12696225248701559"/>
          <c:w val="0.81648600847970931"/>
          <c:h val="0.60891613351301521"/>
        </c:manualLayout>
      </c:layout>
      <c:lineChart>
        <c:grouping val="standard"/>
        <c:varyColors val="0"/>
        <c:ser>
          <c:idx val="0"/>
          <c:order val="0"/>
          <c:tx>
            <c:strRef>
              <c:f>'G2.4B'!$G$3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'G2.4B'!$G$4:$G$233</c:f>
              <c:numCache>
                <c:formatCode>0.0</c:formatCode>
                <c:ptCount val="230"/>
                <c:pt idx="0">
                  <c:v>8.474330025844024</c:v>
                </c:pt>
                <c:pt idx="1">
                  <c:v>9.7048274906306204</c:v>
                </c:pt>
                <c:pt idx="2">
                  <c:v>10.280485690250826</c:v>
                </c:pt>
                <c:pt idx="3">
                  <c:v>11.010602389727003</c:v>
                </c:pt>
                <c:pt idx="4">
                  <c:v>11.75462792570471</c:v>
                </c:pt>
                <c:pt idx="5">
                  <c:v>12.227981911395846</c:v>
                </c:pt>
                <c:pt idx="6">
                  <c:v>10.430312046150874</c:v>
                </c:pt>
                <c:pt idx="7">
                  <c:v>10.959277595360767</c:v>
                </c:pt>
                <c:pt idx="8">
                  <c:v>10.562895826286868</c:v>
                </c:pt>
                <c:pt idx="9">
                  <c:v>10.57060978737376</c:v>
                </c:pt>
                <c:pt idx="10">
                  <c:v>10.970177142104697</c:v>
                </c:pt>
                <c:pt idx="11">
                  <c:v>12.384358007601472</c:v>
                </c:pt>
                <c:pt idx="12">
                  <c:v>9.3344339926094246</c:v>
                </c:pt>
                <c:pt idx="13">
                  <c:v>9.9990865477687922</c:v>
                </c:pt>
                <c:pt idx="14">
                  <c:v>9.4029838246340045</c:v>
                </c:pt>
                <c:pt idx="15">
                  <c:v>9.2700791948458008</c:v>
                </c:pt>
                <c:pt idx="16">
                  <c:v>9.4875177161255717</c:v>
                </c:pt>
                <c:pt idx="17">
                  <c:v>9.2563928171765113</c:v>
                </c:pt>
                <c:pt idx="18">
                  <c:v>8.2660656021491459</c:v>
                </c:pt>
                <c:pt idx="19">
                  <c:v>8.8430619247658466</c:v>
                </c:pt>
                <c:pt idx="20">
                  <c:v>8.8007635678473637</c:v>
                </c:pt>
                <c:pt idx="21">
                  <c:v>8.4764500276229118</c:v>
                </c:pt>
                <c:pt idx="22">
                  <c:v>7.6597969377046073</c:v>
                </c:pt>
                <c:pt idx="23">
                  <c:v>7.0431694549598216</c:v>
                </c:pt>
                <c:pt idx="24">
                  <c:v>6.497018700249523</c:v>
                </c:pt>
                <c:pt idx="25">
                  <c:v>6.9402231360747946</c:v>
                </c:pt>
                <c:pt idx="26">
                  <c:v>6.6030098876500061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6.6884890001463617</c:v>
                </c:pt>
                <c:pt idx="30">
                  <c:v>6.3100191192317023</c:v>
                </c:pt>
                <c:pt idx="31">
                  <c:v>6.3323537981259257</c:v>
                </c:pt>
                <c:pt idx="32">
                  <c:v>6.2146478665001519</c:v>
                </c:pt>
                <c:pt idx="33">
                  <c:v>5.8105981292089997</c:v>
                </c:pt>
                <c:pt idx="34">
                  <c:v>5.6808811324074178</c:v>
                </c:pt>
                <c:pt idx="35">
                  <c:v>5.3306013026385841</c:v>
                </c:pt>
                <c:pt idx="36">
                  <c:v>4.7826981520365495</c:v>
                </c:pt>
                <c:pt idx="37">
                  <c:v>6.3202969107233029</c:v>
                </c:pt>
                <c:pt idx="38">
                  <c:v>6.0115184883741497</c:v>
                </c:pt>
                <c:pt idx="39">
                  <c:v>5.6205967511330437</c:v>
                </c:pt>
                <c:pt idx="40">
                  <c:v>5.5247410485002915</c:v>
                </c:pt>
                <c:pt idx="41">
                  <c:v>5.2808924629229761</c:v>
                </c:pt>
                <c:pt idx="42">
                  <c:v>5.3846759236523409</c:v>
                </c:pt>
                <c:pt idx="43">
                  <c:v>5.2659139136306869</c:v>
                </c:pt>
                <c:pt idx="44">
                  <c:v>4.6428685407409258</c:v>
                </c:pt>
                <c:pt idx="45">
                  <c:v>4.3389020196668895</c:v>
                </c:pt>
                <c:pt idx="46">
                  <c:v>4.2408036669184472</c:v>
                </c:pt>
                <c:pt idx="47">
                  <c:v>4.2615485400030506</c:v>
                </c:pt>
                <c:pt idx="48">
                  <c:v>3.7994214609086665</c:v>
                </c:pt>
                <c:pt idx="49">
                  <c:v>3.7769855384974709</c:v>
                </c:pt>
                <c:pt idx="50">
                  <c:v>3.8829658025884535</c:v>
                </c:pt>
                <c:pt idx="51">
                  <c:v>3.6557254647752275</c:v>
                </c:pt>
                <c:pt idx="52">
                  <c:v>3.5002320628579966</c:v>
                </c:pt>
                <c:pt idx="53">
                  <c:v>3.5810151118121021</c:v>
                </c:pt>
                <c:pt idx="54">
                  <c:v>3.1614481521595756</c:v>
                </c:pt>
                <c:pt idx="55">
                  <c:v>3.0930322676648037</c:v>
                </c:pt>
                <c:pt idx="56">
                  <c:v>3.0803043989445529</c:v>
                </c:pt>
                <c:pt idx="57">
                  <c:v>2.9746236305222671</c:v>
                </c:pt>
                <c:pt idx="58">
                  <c:v>2.7701025287390508</c:v>
                </c:pt>
                <c:pt idx="59">
                  <c:v>2.5901983278448579</c:v>
                </c:pt>
                <c:pt idx="60">
                  <c:v>2.3897376661527256</c:v>
                </c:pt>
                <c:pt idx="61">
                  <c:v>2.7543588770127343</c:v>
                </c:pt>
                <c:pt idx="62">
                  <c:v>2.667174961963636</c:v>
                </c:pt>
                <c:pt idx="63">
                  <c:v>2.5940280566444129</c:v>
                </c:pt>
                <c:pt idx="64">
                  <c:v>2.6343542998737908</c:v>
                </c:pt>
                <c:pt idx="65">
                  <c:v>2.4849335634067815</c:v>
                </c:pt>
                <c:pt idx="66">
                  <c:v>2.3838036613413061</c:v>
                </c:pt>
                <c:pt idx="67">
                  <c:v>2.4790150925950889</c:v>
                </c:pt>
                <c:pt idx="68">
                  <c:v>2.4113964587989298</c:v>
                </c:pt>
                <c:pt idx="69">
                  <c:v>2.1859907629624331</c:v>
                </c:pt>
                <c:pt idx="70">
                  <c:v>2.1234207932126221</c:v>
                </c:pt>
                <c:pt idx="71">
                  <c:v>2.0859176535722157</c:v>
                </c:pt>
                <c:pt idx="72">
                  <c:v>1.80581587740246</c:v>
                </c:pt>
                <c:pt idx="73">
                  <c:v>1.9801725491896669</c:v>
                </c:pt>
                <c:pt idx="74">
                  <c:v>1.921000413448303</c:v>
                </c:pt>
                <c:pt idx="75">
                  <c:v>1.9533630024754887</c:v>
                </c:pt>
                <c:pt idx="76">
                  <c:v>1.9484262579978369</c:v>
                </c:pt>
                <c:pt idx="77">
                  <c:v>1.9885309070385389</c:v>
                </c:pt>
                <c:pt idx="78">
                  <c:v>1.7988978036840391</c:v>
                </c:pt>
                <c:pt idx="79">
                  <c:v>2.032957705266436</c:v>
                </c:pt>
                <c:pt idx="80">
                  <c:v>1.9935811390595639</c:v>
                </c:pt>
                <c:pt idx="81">
                  <c:v>1.9365305283354746</c:v>
                </c:pt>
                <c:pt idx="82">
                  <c:v>1.9528614028498121</c:v>
                </c:pt>
                <c:pt idx="83">
                  <c:v>1.8922862901021793</c:v>
                </c:pt>
                <c:pt idx="84">
                  <c:v>1.6141557741652768</c:v>
                </c:pt>
                <c:pt idx="85">
                  <c:v>1.8561162149152277</c:v>
                </c:pt>
                <c:pt idx="86">
                  <c:v>1.8904855135201766</c:v>
                </c:pt>
                <c:pt idx="87">
                  <c:v>1.9622128720481846</c:v>
                </c:pt>
                <c:pt idx="88">
                  <c:v>2.1133595919509802</c:v>
                </c:pt>
                <c:pt idx="89">
                  <c:v>1.9523997296620632</c:v>
                </c:pt>
                <c:pt idx="90">
                  <c:v>1.7769792141876193</c:v>
                </c:pt>
                <c:pt idx="91">
                  <c:v>1.9521194672149844</c:v>
                </c:pt>
                <c:pt idx="92">
                  <c:v>1.6648146399763428</c:v>
                </c:pt>
                <c:pt idx="93">
                  <c:v>1.7643142682748332</c:v>
                </c:pt>
                <c:pt idx="94">
                  <c:v>1.7208708951719376</c:v>
                </c:pt>
                <c:pt idx="95">
                  <c:v>1.598764907857648</c:v>
                </c:pt>
                <c:pt idx="96">
                  <c:v>1.5147783990952026</c:v>
                </c:pt>
                <c:pt idx="97">
                  <c:v>1.6691508148353178</c:v>
                </c:pt>
                <c:pt idx="98">
                  <c:v>1.7255137154323266</c:v>
                </c:pt>
                <c:pt idx="99">
                  <c:v>1.693370385577871</c:v>
                </c:pt>
                <c:pt idx="100">
                  <c:v>1.9217502332022061</c:v>
                </c:pt>
                <c:pt idx="101">
                  <c:v>1.7998997841324142</c:v>
                </c:pt>
                <c:pt idx="102">
                  <c:v>1.8185154291347827</c:v>
                </c:pt>
                <c:pt idx="103">
                  <c:v>1.9460026584685941</c:v>
                </c:pt>
                <c:pt idx="104">
                  <c:v>1.9461123712640829</c:v>
                </c:pt>
                <c:pt idx="105">
                  <c:v>1.9390113364340276</c:v>
                </c:pt>
                <c:pt idx="106">
                  <c:v>2.0236825550712059</c:v>
                </c:pt>
                <c:pt idx="107">
                  <c:v>2.1393633266952889</c:v>
                </c:pt>
                <c:pt idx="108">
                  <c:v>2.0540984908817661</c:v>
                </c:pt>
                <c:pt idx="109">
                  <c:v>2.2535631133897529</c:v>
                </c:pt>
                <c:pt idx="110">
                  <c:v>2.3829190479468045</c:v>
                </c:pt>
                <c:pt idx="111">
                  <c:v>2.5529216342185586</c:v>
                </c:pt>
                <c:pt idx="112">
                  <c:v>2.5579908266418481</c:v>
                </c:pt>
                <c:pt idx="113">
                  <c:v>2.7591927487128443</c:v>
                </c:pt>
                <c:pt idx="114">
                  <c:v>2.6893916212937738</c:v>
                </c:pt>
                <c:pt idx="115">
                  <c:v>2.7363887558103324</c:v>
                </c:pt>
                <c:pt idx="116">
                  <c:v>2.8255831477622224</c:v>
                </c:pt>
                <c:pt idx="117">
                  <c:v>2.7615296737603847</c:v>
                </c:pt>
                <c:pt idx="118">
                  <c:v>2.777372719370637</c:v>
                </c:pt>
                <c:pt idx="119">
                  <c:v>2.9603401991312581</c:v>
                </c:pt>
                <c:pt idx="120">
                  <c:v>2.7435799871156985</c:v>
                </c:pt>
                <c:pt idx="121">
                  <c:v>3.0663252134299155</c:v>
                </c:pt>
                <c:pt idx="122">
                  <c:v>3.1580809252188091</c:v>
                </c:pt>
                <c:pt idx="123">
                  <c:v>3.206899380080281</c:v>
                </c:pt>
                <c:pt idx="124">
                  <c:v>3.3264105435353031</c:v>
                </c:pt>
                <c:pt idx="125">
                  <c:v>3.3490943140716731</c:v>
                </c:pt>
                <c:pt idx="126">
                  <c:v>3.3230528421058239</c:v>
                </c:pt>
                <c:pt idx="127">
                  <c:v>3.3612881916350958</c:v>
                </c:pt>
                <c:pt idx="128">
                  <c:v>3.5486381087430647</c:v>
                </c:pt>
                <c:pt idx="129">
                  <c:v>3.4001114254623697</c:v>
                </c:pt>
                <c:pt idx="130">
                  <c:v>3.4293754415892623</c:v>
                </c:pt>
                <c:pt idx="131">
                  <c:v>3.559931083911219</c:v>
                </c:pt>
                <c:pt idx="132">
                  <c:v>3.1633737404644733</c:v>
                </c:pt>
                <c:pt idx="133">
                  <c:v>3.4286359439711589</c:v>
                </c:pt>
                <c:pt idx="134">
                  <c:v>3.4914188216115538</c:v>
                </c:pt>
                <c:pt idx="135">
                  <c:v>3.5454085386790775</c:v>
                </c:pt>
                <c:pt idx="136">
                  <c:v>3.6076809658720519</c:v>
                </c:pt>
                <c:pt idx="137">
                  <c:v>3.3994122275074874</c:v>
                </c:pt>
                <c:pt idx="138">
                  <c:v>3.0899993569832289</c:v>
                </c:pt>
                <c:pt idx="139">
                  <c:v>3.1662425700904504</c:v>
                </c:pt>
                <c:pt idx="140">
                  <c:v>3.0509865268437557</c:v>
                </c:pt>
                <c:pt idx="141">
                  <c:v>2.6633145175073398</c:v>
                </c:pt>
                <c:pt idx="142">
                  <c:v>2.6387457991274079</c:v>
                </c:pt>
                <c:pt idx="143">
                  <c:v>2.4923558323120334</c:v>
                </c:pt>
                <c:pt idx="144">
                  <c:v>2.1023923990565101</c:v>
                </c:pt>
                <c:pt idx="145">
                  <c:v>2.3323886182386397</c:v>
                </c:pt>
                <c:pt idx="146">
                  <c:v>2.3084370806206049</c:v>
                </c:pt>
                <c:pt idx="147">
                  <c:v>2.3062329634631316</c:v>
                </c:pt>
                <c:pt idx="148">
                  <c:v>2.2614106111453292</c:v>
                </c:pt>
                <c:pt idx="149">
                  <c:v>2.0787686309821658</c:v>
                </c:pt>
                <c:pt idx="150">
                  <c:v>1.9977120797748702</c:v>
                </c:pt>
                <c:pt idx="151">
                  <c:v>2.1299114464665538</c:v>
                </c:pt>
                <c:pt idx="152">
                  <c:v>2.0640955198703734</c:v>
                </c:pt>
                <c:pt idx="153">
                  <c:v>2.0659713935099786</c:v>
                </c:pt>
                <c:pt idx="154">
                  <c:v>2.1342113363542925</c:v>
                </c:pt>
                <c:pt idx="155">
                  <c:v>1.9642726082870428</c:v>
                </c:pt>
                <c:pt idx="156">
                  <c:v>1.6932607360887597</c:v>
                </c:pt>
                <c:pt idx="157">
                  <c:v>1.9090748453748199</c:v>
                </c:pt>
                <c:pt idx="158">
                  <c:v>1.9669624462369903</c:v>
                </c:pt>
                <c:pt idx="159">
                  <c:v>1.9376563967204978</c:v>
                </c:pt>
                <c:pt idx="160">
                  <c:v>2.1026671257435554</c:v>
                </c:pt>
                <c:pt idx="161">
                  <c:v>2.0131544628114204</c:v>
                </c:pt>
                <c:pt idx="162">
                  <c:v>1.9589434110262807</c:v>
                </c:pt>
                <c:pt idx="163">
                  <c:v>2.141428295502283</c:v>
                </c:pt>
                <c:pt idx="164">
                  <c:v>2.0332471899391109</c:v>
                </c:pt>
                <c:pt idx="165">
                  <c:v>2.0072216608938889</c:v>
                </c:pt>
                <c:pt idx="166">
                  <c:v>1.9845892335452433</c:v>
                </c:pt>
                <c:pt idx="167">
                  <c:v>2.0384770102737759</c:v>
                </c:pt>
                <c:pt idx="168">
                  <c:v>1.9190519816973843</c:v>
                </c:pt>
                <c:pt idx="169">
                  <c:v>2.1180406801939653</c:v>
                </c:pt>
                <c:pt idx="170">
                  <c:v>2.0912169871591875</c:v>
                </c:pt>
                <c:pt idx="171">
                  <c:v>2.2254276040935146</c:v>
                </c:pt>
                <c:pt idx="172">
                  <c:v>2.3098032494887026</c:v>
                </c:pt>
                <c:pt idx="173">
                  <c:v>2.1034746164108862</c:v>
                </c:pt>
                <c:pt idx="174">
                  <c:v>2.0352422109273398</c:v>
                </c:pt>
                <c:pt idx="175">
                  <c:v>2.0693980649988513</c:v>
                </c:pt>
                <c:pt idx="176">
                  <c:v>2.1735694431590642</c:v>
                </c:pt>
                <c:pt idx="177">
                  <c:v>2.1907938895818919</c:v>
                </c:pt>
                <c:pt idx="178">
                  <c:v>2.171150707818696</c:v>
                </c:pt>
                <c:pt idx="179">
                  <c:v>2.2543043410159065</c:v>
                </c:pt>
                <c:pt idx="180">
                  <c:v>2.089331807758017</c:v>
                </c:pt>
                <c:pt idx="181">
                  <c:v>2.2391920918406223</c:v>
                </c:pt>
                <c:pt idx="182">
                  <c:v>2.2710187091497023</c:v>
                </c:pt>
                <c:pt idx="183">
                  <c:v>2.3541683494219776</c:v>
                </c:pt>
                <c:pt idx="184">
                  <c:v>2.4353184195046942</c:v>
                </c:pt>
                <c:pt idx="185">
                  <c:v>2.3703889396094664</c:v>
                </c:pt>
                <c:pt idx="186">
                  <c:v>2.3739263653843135</c:v>
                </c:pt>
                <c:pt idx="187">
                  <c:v>2.3828278643509244</c:v>
                </c:pt>
                <c:pt idx="188">
                  <c:v>2.4988997627026457</c:v>
                </c:pt>
                <c:pt idx="189">
                  <c:v>2.4806669742882006</c:v>
                </c:pt>
                <c:pt idx="190">
                  <c:v>2.4419583818542621</c:v>
                </c:pt>
                <c:pt idx="191">
                  <c:v>2.4189791127405917</c:v>
                </c:pt>
                <c:pt idx="192">
                  <c:v>2.3090935475730499</c:v>
                </c:pt>
                <c:pt idx="193">
                  <c:v>2.3206896693344699</c:v>
                </c:pt>
                <c:pt idx="194">
                  <c:v>2.3273033620059262</c:v>
                </c:pt>
                <c:pt idx="195">
                  <c:v>2.3206408143627559</c:v>
                </c:pt>
                <c:pt idx="196">
                  <c:v>2.3658332304453653</c:v>
                </c:pt>
                <c:pt idx="197">
                  <c:v>2.3302499451950753</c:v>
                </c:pt>
                <c:pt idx="198">
                  <c:v>2.338837624339678</c:v>
                </c:pt>
                <c:pt idx="199">
                  <c:v>2.33493983004132</c:v>
                </c:pt>
                <c:pt idx="200">
                  <c:v>2.3551391034001665</c:v>
                </c:pt>
                <c:pt idx="201">
                  <c:v>2.3678202924239389</c:v>
                </c:pt>
                <c:pt idx="202">
                  <c:v>2.2896555883082956</c:v>
                </c:pt>
                <c:pt idx="203">
                  <c:v>2.3527279943287427</c:v>
                </c:pt>
                <c:pt idx="204">
                  <c:v>2.1690369863068333</c:v>
                </c:pt>
                <c:pt idx="205">
                  <c:v>2.3172571510217006</c:v>
                </c:pt>
                <c:pt idx="206">
                  <c:v>2.3985082904883708</c:v>
                </c:pt>
                <c:pt idx="207">
                  <c:v>2.4548488680015845</c:v>
                </c:pt>
                <c:pt idx="208">
                  <c:v>2.5002658937662927</c:v>
                </c:pt>
                <c:pt idx="209">
                  <c:v>2.4477856783738181</c:v>
                </c:pt>
                <c:pt idx="210">
                  <c:v>2.2533045887145411</c:v>
                </c:pt>
                <c:pt idx="211">
                  <c:v>2.5024431030361378</c:v>
                </c:pt>
                <c:pt idx="212">
                  <c:v>2.5128563571430624</c:v>
                </c:pt>
                <c:pt idx="213">
                  <c:v>2.4987878340734762</c:v>
                </c:pt>
                <c:pt idx="214">
                  <c:v>2.664516185396316</c:v>
                </c:pt>
                <c:pt idx="215">
                  <c:v>2.6368791655240704</c:v>
                </c:pt>
                <c:pt idx="216">
                  <c:v>2.3247436684866383</c:v>
                </c:pt>
                <c:pt idx="217">
                  <c:v>3.1588020697863999</c:v>
                </c:pt>
                <c:pt idx="218">
                  <c:v>3.1289123770272882</c:v>
                </c:pt>
                <c:pt idx="219">
                  <c:v>3.3555141683817507</c:v>
                </c:pt>
                <c:pt idx="220">
                  <c:v>3.5600252690255156</c:v>
                </c:pt>
                <c:pt idx="221">
                  <c:v>3.6037411678491247</c:v>
                </c:pt>
                <c:pt idx="222">
                  <c:v>3.5901875601860591</c:v>
                </c:pt>
                <c:pt idx="223">
                  <c:v>3.7625095280892702</c:v>
                </c:pt>
                <c:pt idx="224">
                  <c:v>3.841952760293688</c:v>
                </c:pt>
                <c:pt idx="225">
                  <c:v>3.8752132633376735</c:v>
                </c:pt>
                <c:pt idx="226">
                  <c:v>3.8445916353215224</c:v>
                </c:pt>
                <c:pt idx="227">
                  <c:v>3.8822625760731544</c:v>
                </c:pt>
                <c:pt idx="228">
                  <c:v>3.7047888300406346</c:v>
                </c:pt>
                <c:pt idx="229">
                  <c:v>4.0441291234479868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44-444C-B5CF-15D05E9655FA}"/>
            </c:ext>
          </c:extLst>
        </c:ser>
        <c:ser>
          <c:idx val="1"/>
          <c:order val="1"/>
          <c:tx>
            <c:strRef>
              <c:f>'G2.4B'!$H$3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'G2.4B'!$H$4:$H$233</c:f>
              <c:numCache>
                <c:formatCode>0.0</c:formatCode>
                <c:ptCount val="230"/>
                <c:pt idx="0">
                  <c:v>17.6936734792496</c:v>
                </c:pt>
                <c:pt idx="1">
                  <c:v>19.702933140786364</c:v>
                </c:pt>
                <c:pt idx="2">
                  <c:v>20.414245044093683</c:v>
                </c:pt>
                <c:pt idx="3">
                  <c:v>21.20902850203063</c:v>
                </c:pt>
                <c:pt idx="4">
                  <c:v>22.164711798841687</c:v>
                </c:pt>
                <c:pt idx="5">
                  <c:v>22.532664834904036</c:v>
                </c:pt>
                <c:pt idx="6">
                  <c:v>20.553798454371712</c:v>
                </c:pt>
                <c:pt idx="7">
                  <c:v>21.579025607875927</c:v>
                </c:pt>
                <c:pt idx="8">
                  <c:v>21.054658536463155</c:v>
                </c:pt>
                <c:pt idx="9">
                  <c:v>20.420218312574811</c:v>
                </c:pt>
                <c:pt idx="10">
                  <c:v>21.393744960846906</c:v>
                </c:pt>
                <c:pt idx="11">
                  <c:v>22.660495379948284</c:v>
                </c:pt>
                <c:pt idx="12">
                  <c:v>18.297110582788548</c:v>
                </c:pt>
                <c:pt idx="13">
                  <c:v>19.426242143856058</c:v>
                </c:pt>
                <c:pt idx="14">
                  <c:v>18.835603840737512</c:v>
                </c:pt>
                <c:pt idx="15">
                  <c:v>17.315225872878475</c:v>
                </c:pt>
                <c:pt idx="16">
                  <c:v>17.139469160968861</c:v>
                </c:pt>
                <c:pt idx="17">
                  <c:v>16.610461371050501</c:v>
                </c:pt>
                <c:pt idx="18">
                  <c:v>16.192012152018414</c:v>
                </c:pt>
                <c:pt idx="19">
                  <c:v>16.749915934179008</c:v>
                </c:pt>
                <c:pt idx="20">
                  <c:v>15.961027998094725</c:v>
                </c:pt>
                <c:pt idx="21">
                  <c:v>15.254348196106658</c:v>
                </c:pt>
                <c:pt idx="22">
                  <c:v>13.681855770463509</c:v>
                </c:pt>
                <c:pt idx="23">
                  <c:v>13.615248184163647</c:v>
                </c:pt>
                <c:pt idx="24">
                  <c:v>12.073145428806791</c:v>
                </c:pt>
                <c:pt idx="25">
                  <c:v>12.090886905593543</c:v>
                </c:pt>
                <c:pt idx="26">
                  <c:v>12.324898464445994</c:v>
                </c:pt>
                <c:pt idx="27">
                  <c:v>11.637126844606323</c:v>
                </c:pt>
                <c:pt idx="28">
                  <c:v>12.1615221404282</c:v>
                </c:pt>
                <c:pt idx="29">
                  <c:v>11.021193613721282</c:v>
                </c:pt>
                <c:pt idx="30">
                  <c:v>10.312329945751433</c:v>
                </c:pt>
                <c:pt idx="31">
                  <c:v>10.495443658268471</c:v>
                </c:pt>
                <c:pt idx="32">
                  <c:v>9.8623531252592347</c:v>
                </c:pt>
                <c:pt idx="33">
                  <c:v>9.6463482047483193</c:v>
                </c:pt>
                <c:pt idx="34">
                  <c:v>9.5951914073056734</c:v>
                </c:pt>
                <c:pt idx="35">
                  <c:v>8.5521073065943014</c:v>
                </c:pt>
                <c:pt idx="36">
                  <c:v>7.8198984168333778</c:v>
                </c:pt>
                <c:pt idx="37">
                  <c:v>7.7438366758666044</c:v>
                </c:pt>
                <c:pt idx="38">
                  <c:v>8.0838979902445818</c:v>
                </c:pt>
                <c:pt idx="39">
                  <c:v>8.434725486783389</c:v>
                </c:pt>
                <c:pt idx="40">
                  <c:v>7.6640150143273651</c:v>
                </c:pt>
                <c:pt idx="41">
                  <c:v>7.4186201067198541</c:v>
                </c:pt>
                <c:pt idx="42">
                  <c:v>7.0230782094945443</c:v>
                </c:pt>
                <c:pt idx="43">
                  <c:v>6.5267132278341311</c:v>
                </c:pt>
                <c:pt idx="44">
                  <c:v>6.3218537518036921</c:v>
                </c:pt>
                <c:pt idx="45">
                  <c:v>6.5334695938526846</c:v>
                </c:pt>
                <c:pt idx="46">
                  <c:v>6.3922503740542416</c:v>
                </c:pt>
                <c:pt idx="47">
                  <c:v>6.5918051704599456</c:v>
                </c:pt>
                <c:pt idx="48">
                  <c:v>5.7775304237369269</c:v>
                </c:pt>
                <c:pt idx="49">
                  <c:v>5.9957358168979411</c:v>
                </c:pt>
                <c:pt idx="50">
                  <c:v>6.272133582180218</c:v>
                </c:pt>
                <c:pt idx="51">
                  <c:v>6.4568016450375145</c:v>
                </c:pt>
                <c:pt idx="52">
                  <c:v>6.2394745981990649</c:v>
                </c:pt>
                <c:pt idx="53">
                  <c:v>6.053658433141698</c:v>
                </c:pt>
                <c:pt idx="54">
                  <c:v>6.0041535654923521</c:v>
                </c:pt>
                <c:pt idx="55">
                  <c:v>5.4689075772859388</c:v>
                </c:pt>
                <c:pt idx="56">
                  <c:v>5.7228667857515498</c:v>
                </c:pt>
                <c:pt idx="57">
                  <c:v>5.6695532007862921</c:v>
                </c:pt>
                <c:pt idx="58">
                  <c:v>5.527681893473348</c:v>
                </c:pt>
                <c:pt idx="59">
                  <c:v>5.7232419315227983</c:v>
                </c:pt>
                <c:pt idx="60">
                  <c:v>4.9545009563379629</c:v>
                </c:pt>
                <c:pt idx="61">
                  <c:v>5.1802618062993462</c:v>
                </c:pt>
                <c:pt idx="62">
                  <c:v>5.4101595571543513</c:v>
                </c:pt>
                <c:pt idx="63">
                  <c:v>5.4378438621601148</c:v>
                </c:pt>
                <c:pt idx="64">
                  <c:v>5.5064995060117035</c:v>
                </c:pt>
                <c:pt idx="65">
                  <c:v>5.4573794560864348</c:v>
                </c:pt>
                <c:pt idx="66">
                  <c:v>5.2055328725275816</c:v>
                </c:pt>
                <c:pt idx="67">
                  <c:v>5.2592262434378796</c:v>
                </c:pt>
                <c:pt idx="68">
                  <c:v>5.0230517868190345</c:v>
                </c:pt>
                <c:pt idx="69">
                  <c:v>5.1048579130681215</c:v>
                </c:pt>
                <c:pt idx="70">
                  <c:v>5.0320977477369615</c:v>
                </c:pt>
                <c:pt idx="71">
                  <c:v>4.9133276453773407</c:v>
                </c:pt>
                <c:pt idx="72">
                  <c:v>4.1267935289500857</c:v>
                </c:pt>
                <c:pt idx="73">
                  <c:v>4.3827093233591379</c:v>
                </c:pt>
                <c:pt idx="74">
                  <c:v>4.739656438893725</c:v>
                </c:pt>
                <c:pt idx="75">
                  <c:v>4.899655210966599</c:v>
                </c:pt>
                <c:pt idx="76">
                  <c:v>4.7903491753950798</c:v>
                </c:pt>
                <c:pt idx="77">
                  <c:v>4.8251888754204098</c:v>
                </c:pt>
                <c:pt idx="78">
                  <c:v>4.3579460129437519</c:v>
                </c:pt>
                <c:pt idx="79">
                  <c:v>4.4574672699840088</c:v>
                </c:pt>
                <c:pt idx="80">
                  <c:v>4.3068260590602794</c:v>
                </c:pt>
                <c:pt idx="81">
                  <c:v>4.1929625051805441</c:v>
                </c:pt>
                <c:pt idx="82">
                  <c:v>4.5479795251180546</c:v>
                </c:pt>
                <c:pt idx="83">
                  <c:v>4.39091994869933</c:v>
                </c:pt>
                <c:pt idx="84">
                  <c:v>3.8552466149003322</c:v>
                </c:pt>
                <c:pt idx="85">
                  <c:v>4.2128455608015107</c:v>
                </c:pt>
                <c:pt idx="86">
                  <c:v>4.3580302760680256</c:v>
                </c:pt>
                <c:pt idx="87">
                  <c:v>4.4344202384255835</c:v>
                </c:pt>
                <c:pt idx="88">
                  <c:v>4.5846231067043508</c:v>
                </c:pt>
                <c:pt idx="89">
                  <c:v>6.2658599369397816</c:v>
                </c:pt>
                <c:pt idx="90">
                  <c:v>4.5580995542802585</c:v>
                </c:pt>
                <c:pt idx="91">
                  <c:v>4.6574623975647391</c:v>
                </c:pt>
                <c:pt idx="92">
                  <c:v>4.4814151356315133</c:v>
                </c:pt>
                <c:pt idx="93">
                  <c:v>4.4292463730358964</c:v>
                </c:pt>
                <c:pt idx="94">
                  <c:v>4.6654547510775997</c:v>
                </c:pt>
                <c:pt idx="95">
                  <c:v>4.7190414156695777</c:v>
                </c:pt>
                <c:pt idx="96">
                  <c:v>4.4479482838844966</c:v>
                </c:pt>
                <c:pt idx="97">
                  <c:v>4.7015576185426697</c:v>
                </c:pt>
                <c:pt idx="98">
                  <c:v>4.8770911654258713</c:v>
                </c:pt>
                <c:pt idx="99">
                  <c:v>4.8806329877894914</c:v>
                </c:pt>
                <c:pt idx="100">
                  <c:v>4.9746204310359419</c:v>
                </c:pt>
                <c:pt idx="101">
                  <c:v>4.9840906739097868</c:v>
                </c:pt>
                <c:pt idx="102">
                  <c:v>5.2316775310215551</c:v>
                </c:pt>
                <c:pt idx="103">
                  <c:v>5.3293399534302823</c:v>
                </c:pt>
                <c:pt idx="104">
                  <c:v>5.2893109770886992</c:v>
                </c:pt>
                <c:pt idx="105">
                  <c:v>5.5381700105278968</c:v>
                </c:pt>
                <c:pt idx="106">
                  <c:v>5.6508637696204858</c:v>
                </c:pt>
                <c:pt idx="107">
                  <c:v>5.8918888636965816</c:v>
                </c:pt>
                <c:pt idx="108">
                  <c:v>5.5786808718909962</c:v>
                </c:pt>
                <c:pt idx="109">
                  <c:v>5.9613389635910332</c:v>
                </c:pt>
                <c:pt idx="110">
                  <c:v>6.2919084764279996</c:v>
                </c:pt>
                <c:pt idx="111">
                  <c:v>6.9614000560410716</c:v>
                </c:pt>
                <c:pt idx="112">
                  <c:v>7.0251618854261633</c:v>
                </c:pt>
                <c:pt idx="113">
                  <c:v>7.0668207089017194</c:v>
                </c:pt>
                <c:pt idx="114">
                  <c:v>6.7493105807556333</c:v>
                </c:pt>
                <c:pt idx="115">
                  <c:v>6.7042510617569189</c:v>
                </c:pt>
                <c:pt idx="116">
                  <c:v>7.3172060516478732</c:v>
                </c:pt>
                <c:pt idx="117">
                  <c:v>7.2856359944480591</c:v>
                </c:pt>
                <c:pt idx="118">
                  <c:v>7.2395789390775578</c:v>
                </c:pt>
                <c:pt idx="119">
                  <c:v>7.8070115083868243</c:v>
                </c:pt>
                <c:pt idx="120">
                  <c:v>7.169231065699992</c:v>
                </c:pt>
                <c:pt idx="121">
                  <c:v>7.6824735957103227</c:v>
                </c:pt>
                <c:pt idx="122">
                  <c:v>8.0318182159468048</c:v>
                </c:pt>
                <c:pt idx="123">
                  <c:v>8.0381924860692173</c:v>
                </c:pt>
                <c:pt idx="124">
                  <c:v>8.2861278543302532</c:v>
                </c:pt>
                <c:pt idx="125">
                  <c:v>8.3217469140534792</c:v>
                </c:pt>
                <c:pt idx="126">
                  <c:v>8.058625842619346</c:v>
                </c:pt>
                <c:pt idx="127">
                  <c:v>7.6058745895380593</c:v>
                </c:pt>
                <c:pt idx="128">
                  <c:v>7.8131390909632215</c:v>
                </c:pt>
                <c:pt idx="129">
                  <c:v>7.4111467581268098</c:v>
                </c:pt>
                <c:pt idx="130">
                  <c:v>7.4343184728580507</c:v>
                </c:pt>
                <c:pt idx="131">
                  <c:v>7.3744328549668658</c:v>
                </c:pt>
                <c:pt idx="132">
                  <c:v>6.4745276665132758</c:v>
                </c:pt>
                <c:pt idx="133">
                  <c:v>6.732385856864834</c:v>
                </c:pt>
                <c:pt idx="134">
                  <c:v>6.9322394919581924</c:v>
                </c:pt>
                <c:pt idx="135">
                  <c:v>6.6802209408538955</c:v>
                </c:pt>
                <c:pt idx="136">
                  <c:v>6.5962675608982106</c:v>
                </c:pt>
                <c:pt idx="137">
                  <c:v>6.3835890356102603</c:v>
                </c:pt>
                <c:pt idx="138">
                  <c:v>6.0206690656881561</c:v>
                </c:pt>
                <c:pt idx="139">
                  <c:v>5.9338455925568523</c:v>
                </c:pt>
                <c:pt idx="140">
                  <c:v>5.6352566782218911</c:v>
                </c:pt>
                <c:pt idx="141">
                  <c:v>5.3224405905836365</c:v>
                </c:pt>
                <c:pt idx="142">
                  <c:v>5.303968246104712</c:v>
                </c:pt>
                <c:pt idx="143">
                  <c:v>5.0886344644260486</c:v>
                </c:pt>
                <c:pt idx="144">
                  <c:v>4.4349195236639787</c:v>
                </c:pt>
                <c:pt idx="145">
                  <c:v>4.5961804105373503</c:v>
                </c:pt>
                <c:pt idx="146">
                  <c:v>4.8205612879136988</c:v>
                </c:pt>
                <c:pt idx="147">
                  <c:v>4.6911087163782463</c:v>
                </c:pt>
                <c:pt idx="148">
                  <c:v>4.8248891782990659</c:v>
                </c:pt>
                <c:pt idx="149">
                  <c:v>4.5723069691867799</c:v>
                </c:pt>
                <c:pt idx="150">
                  <c:v>4.4437044874865528</c:v>
                </c:pt>
                <c:pt idx="151">
                  <c:v>4.531669769022419</c:v>
                </c:pt>
                <c:pt idx="152">
                  <c:v>4.4856538010531706</c:v>
                </c:pt>
                <c:pt idx="153">
                  <c:v>4.5075096029967217</c:v>
                </c:pt>
                <c:pt idx="154">
                  <c:v>4.6606156680729134</c:v>
                </c:pt>
                <c:pt idx="155">
                  <c:v>4.6478378782774632</c:v>
                </c:pt>
                <c:pt idx="156">
                  <c:v>4.2146674988505648</c:v>
                </c:pt>
                <c:pt idx="157">
                  <c:v>4.5152410959152975</c:v>
                </c:pt>
                <c:pt idx="158">
                  <c:v>4.7355878899181318</c:v>
                </c:pt>
                <c:pt idx="159">
                  <c:v>4.7583241627867956</c:v>
                </c:pt>
                <c:pt idx="160">
                  <c:v>4.9780259871707662</c:v>
                </c:pt>
                <c:pt idx="161">
                  <c:v>4.9675210739484585</c:v>
                </c:pt>
                <c:pt idx="162">
                  <c:v>4.9551312117438515</c:v>
                </c:pt>
                <c:pt idx="163">
                  <c:v>4.9027177257064665</c:v>
                </c:pt>
                <c:pt idx="164">
                  <c:v>4.9001985529097887</c:v>
                </c:pt>
                <c:pt idx="165">
                  <c:v>4.9834934671980005</c:v>
                </c:pt>
                <c:pt idx="166">
                  <c:v>4.9803363589752401</c:v>
                </c:pt>
                <c:pt idx="167">
                  <c:v>5.0413472906564243</c:v>
                </c:pt>
                <c:pt idx="168">
                  <c:v>4.8004437789620278</c:v>
                </c:pt>
                <c:pt idx="169">
                  <c:v>4.958506033470127</c:v>
                </c:pt>
                <c:pt idx="170">
                  <c:v>5.1691955461260006</c:v>
                </c:pt>
                <c:pt idx="171">
                  <c:v>5.4651012416552973</c:v>
                </c:pt>
                <c:pt idx="172">
                  <c:v>5.3391048341757923</c:v>
                </c:pt>
                <c:pt idx="173">
                  <c:v>5.2294902964146361</c:v>
                </c:pt>
                <c:pt idx="174">
                  <c:v>5.1731840458289327</c:v>
                </c:pt>
                <c:pt idx="175">
                  <c:v>4.8586865921034059</c:v>
                </c:pt>
                <c:pt idx="176">
                  <c:v>4.8714282295919213</c:v>
                </c:pt>
                <c:pt idx="177">
                  <c:v>4.8486497797590387</c:v>
                </c:pt>
                <c:pt idx="178">
                  <c:v>4.7932510583258914</c:v>
                </c:pt>
                <c:pt idx="179">
                  <c:v>4.8771094687598353</c:v>
                </c:pt>
                <c:pt idx="180">
                  <c:v>4.4407225452142551</c:v>
                </c:pt>
                <c:pt idx="181">
                  <c:v>4.5524083518857683</c:v>
                </c:pt>
                <c:pt idx="182">
                  <c:v>4.7098070480865006</c:v>
                </c:pt>
                <c:pt idx="183">
                  <c:v>4.8107002259831484</c:v>
                </c:pt>
                <c:pt idx="184">
                  <c:v>4.8242603815552245</c:v>
                </c:pt>
                <c:pt idx="185">
                  <c:v>4.830003535051711</c:v>
                </c:pt>
                <c:pt idx="186">
                  <c:v>4.864171424498136</c:v>
                </c:pt>
                <c:pt idx="187">
                  <c:v>4.5533651505600643</c:v>
                </c:pt>
                <c:pt idx="188">
                  <c:v>4.7010135297096056</c:v>
                </c:pt>
                <c:pt idx="189">
                  <c:v>4.6326936763012592</c:v>
                </c:pt>
                <c:pt idx="190">
                  <c:v>4.5646599072605598</c:v>
                </c:pt>
                <c:pt idx="191">
                  <c:v>4.704642875099343</c:v>
                </c:pt>
                <c:pt idx="192">
                  <c:v>4.3723249077162389</c:v>
                </c:pt>
                <c:pt idx="193">
                  <c:v>4.5526831072679137</c:v>
                </c:pt>
                <c:pt idx="194">
                  <c:v>4.6735703172364635</c:v>
                </c:pt>
                <c:pt idx="195">
                  <c:v>4.6577094168196691</c:v>
                </c:pt>
                <c:pt idx="196">
                  <c:v>4.8287696417518653</c:v>
                </c:pt>
                <c:pt idx="197">
                  <c:v>4.9084228794504154</c:v>
                </c:pt>
                <c:pt idx="198">
                  <c:v>4.8993654420337913</c:v>
                </c:pt>
                <c:pt idx="199">
                  <c:v>4.6674750627301123</c:v>
                </c:pt>
                <c:pt idx="200">
                  <c:v>4.6982919142604116</c:v>
                </c:pt>
                <c:pt idx="201">
                  <c:v>4.5965399069246669</c:v>
                </c:pt>
                <c:pt idx="202">
                  <c:v>4.6021518000829458</c:v>
                </c:pt>
                <c:pt idx="203">
                  <c:v>4.7169838819013954</c:v>
                </c:pt>
                <c:pt idx="204">
                  <c:v>4.457931359773478</c:v>
                </c:pt>
                <c:pt idx="205">
                  <c:v>4.6126899197135849</c:v>
                </c:pt>
                <c:pt idx="206">
                  <c:v>4.7768334204441238</c:v>
                </c:pt>
                <c:pt idx="207">
                  <c:v>4.8982470035692449</c:v>
                </c:pt>
                <c:pt idx="208">
                  <c:v>4.9252882880629718</c:v>
                </c:pt>
                <c:pt idx="209">
                  <c:v>5.0269388358399301</c:v>
                </c:pt>
                <c:pt idx="210">
                  <c:v>4.8928113560857884</c:v>
                </c:pt>
                <c:pt idx="211">
                  <c:v>5.0459713074375285</c:v>
                </c:pt>
                <c:pt idx="212">
                  <c:v>4.9779678789487587</c:v>
                </c:pt>
                <c:pt idx="213">
                  <c:v>4.9767017303382595</c:v>
                </c:pt>
                <c:pt idx="214">
                  <c:v>5.1376111812642717</c:v>
                </c:pt>
                <c:pt idx="215">
                  <c:v>5.2750173626456505</c:v>
                </c:pt>
                <c:pt idx="216">
                  <c:v>4.9889406862696273</c:v>
                </c:pt>
                <c:pt idx="217">
                  <c:v>5.1717196449627938</c:v>
                </c:pt>
                <c:pt idx="218">
                  <c:v>5.3950014254741241</c:v>
                </c:pt>
                <c:pt idx="219">
                  <c:v>5.4802977892011153</c:v>
                </c:pt>
                <c:pt idx="220">
                  <c:v>5.7891093629010584</c:v>
                </c:pt>
                <c:pt idx="221">
                  <c:v>5.8979663218772176</c:v>
                </c:pt>
                <c:pt idx="222">
                  <c:v>5.9271891064075666</c:v>
                </c:pt>
                <c:pt idx="223">
                  <c:v>5.9959858908283961</c:v>
                </c:pt>
                <c:pt idx="224">
                  <c:v>5.9182695121000641</c:v>
                </c:pt>
                <c:pt idx="225">
                  <c:v>5.9932339562099433</c:v>
                </c:pt>
                <c:pt idx="226">
                  <c:v>6.0458712564424424</c:v>
                </c:pt>
                <c:pt idx="227">
                  <c:v>6.1364592441095915</c:v>
                </c:pt>
                <c:pt idx="228">
                  <c:v>5.8129812300958514</c:v>
                </c:pt>
                <c:pt idx="229">
                  <c:v>5.9834084232625377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44-444C-B5CF-15D05E9655FA}"/>
            </c:ext>
          </c:extLst>
        </c:ser>
        <c:ser>
          <c:idx val="2"/>
          <c:order val="2"/>
          <c:tx>
            <c:strRef>
              <c:f>'G2.4B'!$I$3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'G2.4B'!$I$4:$I$233</c:f>
              <c:numCache>
                <c:formatCode>0.0</c:formatCode>
                <c:ptCount val="230"/>
                <c:pt idx="0">
                  <c:v>10.100243837369698</c:v>
                </c:pt>
                <c:pt idx="1">
                  <c:v>11.516781835723942</c:v>
                </c:pt>
                <c:pt idx="2">
                  <c:v>12.688850651081628</c:v>
                </c:pt>
                <c:pt idx="3">
                  <c:v>13.714760166264821</c:v>
                </c:pt>
                <c:pt idx="4">
                  <c:v>15.113560433844281</c:v>
                </c:pt>
                <c:pt idx="5">
                  <c:v>12.697370317480031</c:v>
                </c:pt>
                <c:pt idx="6">
                  <c:v>12.720468567131514</c:v>
                </c:pt>
                <c:pt idx="7">
                  <c:v>13.398707522952279</c:v>
                </c:pt>
                <c:pt idx="8">
                  <c:v>14.702788088801839</c:v>
                </c:pt>
                <c:pt idx="9">
                  <c:v>14.672665362547317</c:v>
                </c:pt>
                <c:pt idx="10">
                  <c:v>16.719963620734305</c:v>
                </c:pt>
                <c:pt idx="11">
                  <c:v>19.755259018000768</c:v>
                </c:pt>
                <c:pt idx="12">
                  <c:v>18.480621372352132</c:v>
                </c:pt>
                <c:pt idx="13">
                  <c:v>20.034027364149999</c:v>
                </c:pt>
                <c:pt idx="14">
                  <c:v>16.013366117810531</c:v>
                </c:pt>
                <c:pt idx="15">
                  <c:v>14.823335189144622</c:v>
                </c:pt>
                <c:pt idx="16">
                  <c:v>12.70119022114342</c:v>
                </c:pt>
                <c:pt idx="17">
                  <c:v>12.159388395732702</c:v>
                </c:pt>
                <c:pt idx="18">
                  <c:v>11.747443552411539</c:v>
                </c:pt>
                <c:pt idx="19">
                  <c:v>13.655623452909879</c:v>
                </c:pt>
                <c:pt idx="20">
                  <c:v>15.754353309991737</c:v>
                </c:pt>
                <c:pt idx="21">
                  <c:v>17.935122605608264</c:v>
                </c:pt>
                <c:pt idx="22">
                  <c:v>17.791121248905274</c:v>
                </c:pt>
                <c:pt idx="23">
                  <c:v>18.99924202099713</c:v>
                </c:pt>
                <c:pt idx="24">
                  <c:v>19.272157008134375</c:v>
                </c:pt>
                <c:pt idx="25">
                  <c:v>19.874862440137747</c:v>
                </c:pt>
                <c:pt idx="26">
                  <c:v>20.288607348857088</c:v>
                </c:pt>
                <c:pt idx="27">
                  <c:v>20.68216689850868</c:v>
                </c:pt>
                <c:pt idx="28">
                  <c:v>19.70824629617049</c:v>
                </c:pt>
                <c:pt idx="29">
                  <c:v>19.333054376212143</c:v>
                </c:pt>
                <c:pt idx="30">
                  <c:v>19.47325595703705</c:v>
                </c:pt>
                <c:pt idx="31">
                  <c:v>19.582519178471678</c:v>
                </c:pt>
                <c:pt idx="32">
                  <c:v>20.197939995606092</c:v>
                </c:pt>
                <c:pt idx="33">
                  <c:v>20.93081086810032</c:v>
                </c:pt>
                <c:pt idx="34">
                  <c:v>20.791192684892319</c:v>
                </c:pt>
                <c:pt idx="35">
                  <c:v>21.234025855110925</c:v>
                </c:pt>
                <c:pt idx="36">
                  <c:v>20.855085232363837</c:v>
                </c:pt>
                <c:pt idx="37">
                  <c:v>33.713895504614655</c:v>
                </c:pt>
                <c:pt idx="38">
                  <c:v>33.996917920781293</c:v>
                </c:pt>
                <c:pt idx="39">
                  <c:v>35.025496119331336</c:v>
                </c:pt>
                <c:pt idx="40">
                  <c:v>34.894624085007308</c:v>
                </c:pt>
                <c:pt idx="41">
                  <c:v>35.78674074380222</c:v>
                </c:pt>
                <c:pt idx="42">
                  <c:v>35.187712204268152</c:v>
                </c:pt>
                <c:pt idx="43">
                  <c:v>34.962637199109345</c:v>
                </c:pt>
                <c:pt idx="44">
                  <c:v>35.307209207872582</c:v>
                </c:pt>
                <c:pt idx="45">
                  <c:v>35.132958386931975</c:v>
                </c:pt>
                <c:pt idx="46">
                  <c:v>35.066128547091814</c:v>
                </c:pt>
                <c:pt idx="47">
                  <c:v>36.467058775073603</c:v>
                </c:pt>
                <c:pt idx="48">
                  <c:v>34.690695641475578</c:v>
                </c:pt>
                <c:pt idx="49">
                  <c:v>34.702310759655568</c:v>
                </c:pt>
                <c:pt idx="50">
                  <c:v>34.397044446899052</c:v>
                </c:pt>
                <c:pt idx="51">
                  <c:v>35.611024261847128</c:v>
                </c:pt>
                <c:pt idx="52">
                  <c:v>35.466116761894611</c:v>
                </c:pt>
                <c:pt idx="53">
                  <c:v>35.812510508721196</c:v>
                </c:pt>
                <c:pt idx="54">
                  <c:v>36.485448605203032</c:v>
                </c:pt>
                <c:pt idx="55">
                  <c:v>35.765993581683581</c:v>
                </c:pt>
                <c:pt idx="56">
                  <c:v>36.01290162980186</c:v>
                </c:pt>
                <c:pt idx="57">
                  <c:v>35.87593497428049</c:v>
                </c:pt>
                <c:pt idx="58">
                  <c:v>35.731690078149228</c:v>
                </c:pt>
                <c:pt idx="59">
                  <c:v>36.737386653708498</c:v>
                </c:pt>
                <c:pt idx="60">
                  <c:v>33.822525967515986</c:v>
                </c:pt>
                <c:pt idx="61">
                  <c:v>34.193500738334833</c:v>
                </c:pt>
                <c:pt idx="62">
                  <c:v>33.796655234565691</c:v>
                </c:pt>
                <c:pt idx="63">
                  <c:v>33.807769809933049</c:v>
                </c:pt>
                <c:pt idx="64">
                  <c:v>33.741688432330236</c:v>
                </c:pt>
                <c:pt idx="65">
                  <c:v>32.930015986281404</c:v>
                </c:pt>
                <c:pt idx="66">
                  <c:v>29.031714860518498</c:v>
                </c:pt>
                <c:pt idx="67">
                  <c:v>28.573958548989314</c:v>
                </c:pt>
                <c:pt idx="68">
                  <c:v>26.850416523219486</c:v>
                </c:pt>
                <c:pt idx="69">
                  <c:v>24.522723158416454</c:v>
                </c:pt>
                <c:pt idx="70">
                  <c:v>24.08938966452628</c:v>
                </c:pt>
                <c:pt idx="71">
                  <c:v>24.408496676073288</c:v>
                </c:pt>
                <c:pt idx="72">
                  <c:v>20.580236350830543</c:v>
                </c:pt>
                <c:pt idx="73">
                  <c:v>21.347538042123947</c:v>
                </c:pt>
                <c:pt idx="74">
                  <c:v>20.712005135867219</c:v>
                </c:pt>
                <c:pt idx="75">
                  <c:v>21.339556860058696</c:v>
                </c:pt>
                <c:pt idx="76">
                  <c:v>20.314865274976246</c:v>
                </c:pt>
                <c:pt idx="77">
                  <c:v>20.720764321753911</c:v>
                </c:pt>
                <c:pt idx="78">
                  <c:v>19.563880962870819</c:v>
                </c:pt>
                <c:pt idx="79">
                  <c:v>19.047138197929961</c:v>
                </c:pt>
                <c:pt idx="80">
                  <c:v>19.018185240933786</c:v>
                </c:pt>
                <c:pt idx="81">
                  <c:v>19.432032864057032</c:v>
                </c:pt>
                <c:pt idx="82">
                  <c:v>19.624595596378676</c:v>
                </c:pt>
                <c:pt idx="83">
                  <c:v>19.403101141020642</c:v>
                </c:pt>
                <c:pt idx="84">
                  <c:v>15.415221184435849</c:v>
                </c:pt>
                <c:pt idx="85">
                  <c:v>16.284758805144904</c:v>
                </c:pt>
                <c:pt idx="86">
                  <c:v>15.620276932457319</c:v>
                </c:pt>
                <c:pt idx="87">
                  <c:v>15.762680538997964</c:v>
                </c:pt>
                <c:pt idx="88">
                  <c:v>14.987747528265059</c:v>
                </c:pt>
                <c:pt idx="89">
                  <c:v>14.614373888688272</c:v>
                </c:pt>
                <c:pt idx="90">
                  <c:v>13.33273550051555</c:v>
                </c:pt>
                <c:pt idx="91">
                  <c:v>12.831182114170266</c:v>
                </c:pt>
                <c:pt idx="92">
                  <c:v>12.488445195927648</c:v>
                </c:pt>
                <c:pt idx="93">
                  <c:v>11.531503172195489</c:v>
                </c:pt>
                <c:pt idx="94">
                  <c:v>12.401247529431197</c:v>
                </c:pt>
                <c:pt idx="95">
                  <c:v>12.312241969338105</c:v>
                </c:pt>
                <c:pt idx="96">
                  <c:v>11.104502729632369</c:v>
                </c:pt>
                <c:pt idx="97">
                  <c:v>11.457170400079468</c:v>
                </c:pt>
                <c:pt idx="98">
                  <c:v>10.609086656819326</c:v>
                </c:pt>
                <c:pt idx="99">
                  <c:v>10.759039832758889</c:v>
                </c:pt>
                <c:pt idx="100">
                  <c:v>10.926659517715636</c:v>
                </c:pt>
                <c:pt idx="101">
                  <c:v>10.741106728286484</c:v>
                </c:pt>
                <c:pt idx="102">
                  <c:v>10.314466755930159</c:v>
                </c:pt>
                <c:pt idx="103">
                  <c:v>10.830139720033507</c:v>
                </c:pt>
                <c:pt idx="104">
                  <c:v>10.464940201972912</c:v>
                </c:pt>
                <c:pt idx="105">
                  <c:v>10.079438997672849</c:v>
                </c:pt>
                <c:pt idx="106">
                  <c:v>9.9864452192546924</c:v>
                </c:pt>
                <c:pt idx="107">
                  <c:v>10.246668734777089</c:v>
                </c:pt>
                <c:pt idx="108">
                  <c:v>9.1671051881127639</c:v>
                </c:pt>
                <c:pt idx="109">
                  <c:v>9.7632928388960689</c:v>
                </c:pt>
                <c:pt idx="110">
                  <c:v>9.5054863380979349</c:v>
                </c:pt>
                <c:pt idx="111">
                  <c:v>9.9406226875443728</c:v>
                </c:pt>
                <c:pt idx="112">
                  <c:v>9.5944101462783813</c:v>
                </c:pt>
                <c:pt idx="113">
                  <c:v>10.072858302661773</c:v>
                </c:pt>
                <c:pt idx="114">
                  <c:v>9.3825444498789459</c:v>
                </c:pt>
                <c:pt idx="115">
                  <c:v>8.9999915646421602</c:v>
                </c:pt>
                <c:pt idx="116">
                  <c:v>9.6146777533716392</c:v>
                </c:pt>
                <c:pt idx="117">
                  <c:v>9.4725627492617921</c:v>
                </c:pt>
                <c:pt idx="118">
                  <c:v>9.4730645035420284</c:v>
                </c:pt>
                <c:pt idx="119">
                  <c:v>10.048554319388325</c:v>
                </c:pt>
                <c:pt idx="120">
                  <c:v>9.4537726015224646</c:v>
                </c:pt>
                <c:pt idx="121">
                  <c:v>10.140660429715856</c:v>
                </c:pt>
                <c:pt idx="122">
                  <c:v>9.9854604871140555</c:v>
                </c:pt>
                <c:pt idx="123">
                  <c:v>10.100481486384638</c:v>
                </c:pt>
                <c:pt idx="124">
                  <c:v>10.520582863228325</c:v>
                </c:pt>
                <c:pt idx="125">
                  <c:v>11.157472163982677</c:v>
                </c:pt>
                <c:pt idx="126">
                  <c:v>10.368806842183192</c:v>
                </c:pt>
                <c:pt idx="127">
                  <c:v>9.8080963545822328</c:v>
                </c:pt>
                <c:pt idx="128">
                  <c:v>10.252619430584112</c:v>
                </c:pt>
                <c:pt idx="129">
                  <c:v>9.6179828427368577</c:v>
                </c:pt>
                <c:pt idx="130">
                  <c:v>9.6033395482236514</c:v>
                </c:pt>
                <c:pt idx="131">
                  <c:v>9.4820732042237381</c:v>
                </c:pt>
                <c:pt idx="132">
                  <c:v>8.0837335984796059</c:v>
                </c:pt>
                <c:pt idx="133">
                  <c:v>8.3444237679827022</c:v>
                </c:pt>
                <c:pt idx="134">
                  <c:v>8.4665534587369038</c:v>
                </c:pt>
                <c:pt idx="135">
                  <c:v>7.6917097663960181</c:v>
                </c:pt>
                <c:pt idx="136">
                  <c:v>8.692665894514878</c:v>
                </c:pt>
                <c:pt idx="137">
                  <c:v>8.4620724942651204</c:v>
                </c:pt>
                <c:pt idx="138">
                  <c:v>7.7740287186637209</c:v>
                </c:pt>
                <c:pt idx="139">
                  <c:v>8.073098733776078</c:v>
                </c:pt>
                <c:pt idx="140">
                  <c:v>7.712271321671488</c:v>
                </c:pt>
                <c:pt idx="141">
                  <c:v>7.479279335846253</c:v>
                </c:pt>
                <c:pt idx="142">
                  <c:v>7.6035250183114256</c:v>
                </c:pt>
                <c:pt idx="143">
                  <c:v>7.2543122838815419</c:v>
                </c:pt>
                <c:pt idx="144">
                  <c:v>7.3056574707642676</c:v>
                </c:pt>
                <c:pt idx="145">
                  <c:v>7.4191479604261419</c:v>
                </c:pt>
                <c:pt idx="146">
                  <c:v>7.4010890433329575</c:v>
                </c:pt>
                <c:pt idx="147">
                  <c:v>6.9213098876147896</c:v>
                </c:pt>
                <c:pt idx="148">
                  <c:v>7.0967986691271472</c:v>
                </c:pt>
                <c:pt idx="149">
                  <c:v>6.5466559088814984</c:v>
                </c:pt>
                <c:pt idx="150">
                  <c:v>6.5829596548416953</c:v>
                </c:pt>
                <c:pt idx="151">
                  <c:v>6.3496544243147151</c:v>
                </c:pt>
                <c:pt idx="152">
                  <c:v>6.0274539849989432</c:v>
                </c:pt>
                <c:pt idx="153">
                  <c:v>6.0327746770745545</c:v>
                </c:pt>
                <c:pt idx="154">
                  <c:v>6.1007805534226645</c:v>
                </c:pt>
                <c:pt idx="155">
                  <c:v>6.0466132387909965</c:v>
                </c:pt>
                <c:pt idx="156">
                  <c:v>5.4484550456743612</c:v>
                </c:pt>
                <c:pt idx="157">
                  <c:v>5.6961181191338648</c:v>
                </c:pt>
                <c:pt idx="158">
                  <c:v>5.6622558527946234</c:v>
                </c:pt>
                <c:pt idx="159">
                  <c:v>5.6898503264860274</c:v>
                </c:pt>
                <c:pt idx="160">
                  <c:v>5.8647859862347982</c:v>
                </c:pt>
                <c:pt idx="161">
                  <c:v>5.7502896755336561</c:v>
                </c:pt>
                <c:pt idx="162">
                  <c:v>5.5814470451923857</c:v>
                </c:pt>
                <c:pt idx="163">
                  <c:v>5.4871366682239957</c:v>
                </c:pt>
                <c:pt idx="164">
                  <c:v>5.6427531944043627</c:v>
                </c:pt>
                <c:pt idx="165">
                  <c:v>5.674578270900164</c:v>
                </c:pt>
                <c:pt idx="166">
                  <c:v>5.389637533082702</c:v>
                </c:pt>
                <c:pt idx="167">
                  <c:v>5.7213009674812554</c:v>
                </c:pt>
                <c:pt idx="168">
                  <c:v>5.291604793091035</c:v>
                </c:pt>
                <c:pt idx="169">
                  <c:v>5.4237336928556816</c:v>
                </c:pt>
                <c:pt idx="170">
                  <c:v>5.3752000924521228</c:v>
                </c:pt>
                <c:pt idx="171">
                  <c:v>5.7916599763283392</c:v>
                </c:pt>
                <c:pt idx="172">
                  <c:v>5.5479604834755269</c:v>
                </c:pt>
                <c:pt idx="173">
                  <c:v>5.5648925016594832</c:v>
                </c:pt>
                <c:pt idx="174">
                  <c:v>5.4197946821567893</c:v>
                </c:pt>
                <c:pt idx="175">
                  <c:v>4.9572729484685922</c:v>
                </c:pt>
                <c:pt idx="176">
                  <c:v>5.1820986645975777</c:v>
                </c:pt>
                <c:pt idx="177">
                  <c:v>5.0473986423150468</c:v>
                </c:pt>
                <c:pt idx="178">
                  <c:v>4.8460465948952001</c:v>
                </c:pt>
                <c:pt idx="179">
                  <c:v>4.9555230823622809</c:v>
                </c:pt>
                <c:pt idx="180">
                  <c:v>4.3067580481723446</c:v>
                </c:pt>
                <c:pt idx="181">
                  <c:v>4.5674028138275133</c:v>
                </c:pt>
                <c:pt idx="182">
                  <c:v>4.4222225581761192</c:v>
                </c:pt>
                <c:pt idx="183">
                  <c:v>4.487302835416445</c:v>
                </c:pt>
                <c:pt idx="184">
                  <c:v>4.5510050606057648</c:v>
                </c:pt>
                <c:pt idx="185">
                  <c:v>4.6224863151796729</c:v>
                </c:pt>
                <c:pt idx="186">
                  <c:v>4.7516212016058219</c:v>
                </c:pt>
                <c:pt idx="187">
                  <c:v>4.3354399705333178</c:v>
                </c:pt>
                <c:pt idx="188">
                  <c:v>4.6874130040502804</c:v>
                </c:pt>
                <c:pt idx="189">
                  <c:v>4.6321689527472332</c:v>
                </c:pt>
                <c:pt idx="190">
                  <c:v>4.6625507777734096</c:v>
                </c:pt>
                <c:pt idx="191">
                  <c:v>4.8316494107128065</c:v>
                </c:pt>
                <c:pt idx="192">
                  <c:v>4.290861089946862</c:v>
                </c:pt>
                <c:pt idx="193">
                  <c:v>5.5732045430584281</c:v>
                </c:pt>
                <c:pt idx="194">
                  <c:v>5.4072561086689106</c:v>
                </c:pt>
                <c:pt idx="195">
                  <c:v>4.9476462373303329</c:v>
                </c:pt>
                <c:pt idx="196">
                  <c:v>5.3474322147712332</c:v>
                </c:pt>
                <c:pt idx="197">
                  <c:v>5.48834440228124</c:v>
                </c:pt>
                <c:pt idx="198">
                  <c:v>5.5583589482308513</c:v>
                </c:pt>
                <c:pt idx="199">
                  <c:v>5.2470468837734181</c:v>
                </c:pt>
                <c:pt idx="200">
                  <c:v>5.4144694856704483</c:v>
                </c:pt>
                <c:pt idx="201">
                  <c:v>5.2165079708920503</c:v>
                </c:pt>
                <c:pt idx="202">
                  <c:v>5.2959627084248257</c:v>
                </c:pt>
                <c:pt idx="203">
                  <c:v>5.4751308814716513</c:v>
                </c:pt>
                <c:pt idx="204">
                  <c:v>4.9270261576607917</c:v>
                </c:pt>
                <c:pt idx="205">
                  <c:v>5.2737037502786004</c:v>
                </c:pt>
                <c:pt idx="206">
                  <c:v>5.3033482335438453</c:v>
                </c:pt>
                <c:pt idx="207">
                  <c:v>5.4591382839585396</c:v>
                </c:pt>
                <c:pt idx="208">
                  <c:v>5.6150464803881146</c:v>
                </c:pt>
                <c:pt idx="209">
                  <c:v>5.6791064816373709</c:v>
                </c:pt>
                <c:pt idx="210">
                  <c:v>5.6135894171932907</c:v>
                </c:pt>
                <c:pt idx="211">
                  <c:v>5.8069512015499143</c:v>
                </c:pt>
                <c:pt idx="212">
                  <c:v>5.6780902110631963</c:v>
                </c:pt>
                <c:pt idx="213">
                  <c:v>5.7994063336989727</c:v>
                </c:pt>
                <c:pt idx="214">
                  <c:v>5.9371973002897329</c:v>
                </c:pt>
                <c:pt idx="215">
                  <c:v>6.0695080505281371</c:v>
                </c:pt>
                <c:pt idx="216">
                  <c:v>5.4801390327427306</c:v>
                </c:pt>
                <c:pt idx="217">
                  <c:v>6.0973912299129038</c:v>
                </c:pt>
                <c:pt idx="218">
                  <c:v>5.9982320857878308</c:v>
                </c:pt>
                <c:pt idx="219">
                  <c:v>6.2440866541843079</c:v>
                </c:pt>
                <c:pt idx="220">
                  <c:v>6.7466511845886163</c:v>
                </c:pt>
                <c:pt idx="221">
                  <c:v>6.7268265253993453</c:v>
                </c:pt>
                <c:pt idx="222">
                  <c:v>6.9662425604048961</c:v>
                </c:pt>
                <c:pt idx="223">
                  <c:v>7.1300755666980109</c:v>
                </c:pt>
                <c:pt idx="224">
                  <c:v>7.1490323302157082</c:v>
                </c:pt>
                <c:pt idx="225">
                  <c:v>7.1799178246406665</c:v>
                </c:pt>
                <c:pt idx="226">
                  <c:v>7.1384160924976907</c:v>
                </c:pt>
                <c:pt idx="227">
                  <c:v>7.5114555171761852</c:v>
                </c:pt>
                <c:pt idx="228">
                  <c:v>6.8448977119792271</c:v>
                </c:pt>
                <c:pt idx="229">
                  <c:v>7.1065278297095134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44-444C-B5CF-15D05E9655FA}"/>
            </c:ext>
          </c:extLst>
        </c:ser>
        <c:ser>
          <c:idx val="3"/>
          <c:order val="3"/>
          <c:tx>
            <c:strRef>
              <c:f>'G2.4B'!$J$3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'G2.4B'!$J$4:$J$233</c:f>
              <c:numCache>
                <c:formatCode>0.0</c:formatCode>
                <c:ptCount val="230"/>
                <c:pt idx="37">
                  <c:v>7.3875089915061602</c:v>
                </c:pt>
                <c:pt idx="38">
                  <c:v>7.9263319338872256</c:v>
                </c:pt>
                <c:pt idx="39">
                  <c:v>7.589512482576998</c:v>
                </c:pt>
                <c:pt idx="40">
                  <c:v>7.0777360057888439</c:v>
                </c:pt>
                <c:pt idx="41">
                  <c:v>7.1620073333598819</c:v>
                </c:pt>
                <c:pt idx="42">
                  <c:v>7.7377203560113612</c:v>
                </c:pt>
                <c:pt idx="43">
                  <c:v>7.7887318582914471</c:v>
                </c:pt>
                <c:pt idx="44">
                  <c:v>8.0639568595723503</c:v>
                </c:pt>
                <c:pt idx="45">
                  <c:v>8.0867140567082902</c:v>
                </c:pt>
                <c:pt idx="46">
                  <c:v>8.079638406653002</c:v>
                </c:pt>
                <c:pt idx="47">
                  <c:v>8.1316568592436891</c:v>
                </c:pt>
                <c:pt idx="48">
                  <c:v>6.5593014061156012</c:v>
                </c:pt>
                <c:pt idx="49">
                  <c:v>6.5128025482046175</c:v>
                </c:pt>
                <c:pt idx="50">
                  <c:v>6.5751381747505651</c:v>
                </c:pt>
                <c:pt idx="51">
                  <c:v>6.4452945124967984</c:v>
                </c:pt>
                <c:pt idx="52">
                  <c:v>6.8260177261803445</c:v>
                </c:pt>
                <c:pt idx="53">
                  <c:v>6.432275197523909</c:v>
                </c:pt>
                <c:pt idx="54">
                  <c:v>6.4464112292135534</c:v>
                </c:pt>
                <c:pt idx="55">
                  <c:v>5.9687046878937178</c:v>
                </c:pt>
                <c:pt idx="56">
                  <c:v>5.8211023489711211</c:v>
                </c:pt>
                <c:pt idx="57">
                  <c:v>5.2902946542245042</c:v>
                </c:pt>
                <c:pt idx="58">
                  <c:v>5.2730410166034964</c:v>
                </c:pt>
                <c:pt idx="59">
                  <c:v>5.506016584535196</c:v>
                </c:pt>
                <c:pt idx="60">
                  <c:v>5.3418417485275844</c:v>
                </c:pt>
                <c:pt idx="61">
                  <c:v>5.602453957577036</c:v>
                </c:pt>
                <c:pt idx="62">
                  <c:v>5.5760656434234948</c:v>
                </c:pt>
                <c:pt idx="63">
                  <c:v>5.9484023060365043</c:v>
                </c:pt>
                <c:pt idx="64">
                  <c:v>6.504452747953807</c:v>
                </c:pt>
                <c:pt idx="65">
                  <c:v>6.6044704712029638</c:v>
                </c:pt>
                <c:pt idx="66">
                  <c:v>6.5305325089780029</c:v>
                </c:pt>
                <c:pt idx="67">
                  <c:v>6.635238057976939</c:v>
                </c:pt>
                <c:pt idx="68">
                  <c:v>6.0842722216911875</c:v>
                </c:pt>
                <c:pt idx="69">
                  <c:v>5.8801891951222141</c:v>
                </c:pt>
                <c:pt idx="70">
                  <c:v>5.8750673124461255</c:v>
                </c:pt>
                <c:pt idx="71">
                  <c:v>5.9037388868164262</c:v>
                </c:pt>
                <c:pt idx="72">
                  <c:v>5.4033892295929515</c:v>
                </c:pt>
                <c:pt idx="73">
                  <c:v>5.8567450385602342</c:v>
                </c:pt>
                <c:pt idx="74">
                  <c:v>5.8045497820624572</c:v>
                </c:pt>
                <c:pt idx="75">
                  <c:v>5.5648010796689782</c:v>
                </c:pt>
                <c:pt idx="76">
                  <c:v>5.3962556518691116</c:v>
                </c:pt>
                <c:pt idx="77">
                  <c:v>5.346255625589305</c:v>
                </c:pt>
                <c:pt idx="78">
                  <c:v>4.9904964885761114</c:v>
                </c:pt>
                <c:pt idx="79">
                  <c:v>5.0889173929470193</c:v>
                </c:pt>
                <c:pt idx="80">
                  <c:v>4.987350341189666</c:v>
                </c:pt>
                <c:pt idx="81">
                  <c:v>4.9591006380381701</c:v>
                </c:pt>
                <c:pt idx="82">
                  <c:v>4.7870295675627741</c:v>
                </c:pt>
                <c:pt idx="83">
                  <c:v>4.685767440586794</c:v>
                </c:pt>
                <c:pt idx="84">
                  <c:v>4.567581897260478</c:v>
                </c:pt>
                <c:pt idx="85">
                  <c:v>4.881555856393561</c:v>
                </c:pt>
                <c:pt idx="86">
                  <c:v>5.2858076979375248</c:v>
                </c:pt>
                <c:pt idx="87">
                  <c:v>5.4044471849583342</c:v>
                </c:pt>
                <c:pt idx="88">
                  <c:v>5.486579649555356</c:v>
                </c:pt>
                <c:pt idx="89">
                  <c:v>5.5852630038325426</c:v>
                </c:pt>
                <c:pt idx="90">
                  <c:v>5.450730469219601</c:v>
                </c:pt>
                <c:pt idx="91">
                  <c:v>5.4931436689457627</c:v>
                </c:pt>
                <c:pt idx="92">
                  <c:v>5.303099875742916</c:v>
                </c:pt>
                <c:pt idx="93">
                  <c:v>5.3816653153061145</c:v>
                </c:pt>
                <c:pt idx="94">
                  <c:v>5.2426382249627022</c:v>
                </c:pt>
                <c:pt idx="95">
                  <c:v>5.2588062976469283</c:v>
                </c:pt>
                <c:pt idx="96">
                  <c:v>5.3540533200168046</c:v>
                </c:pt>
                <c:pt idx="97">
                  <c:v>5.5014800167609152</c:v>
                </c:pt>
                <c:pt idx="98">
                  <c:v>5.755265562516743</c:v>
                </c:pt>
                <c:pt idx="99">
                  <c:v>5.8771298285534099</c:v>
                </c:pt>
                <c:pt idx="100">
                  <c:v>5.9435464095535133</c:v>
                </c:pt>
                <c:pt idx="101">
                  <c:v>5.9313053719440356</c:v>
                </c:pt>
                <c:pt idx="102">
                  <c:v>6.2164817049928747</c:v>
                </c:pt>
                <c:pt idx="103">
                  <c:v>6.4641977325514324</c:v>
                </c:pt>
                <c:pt idx="104">
                  <c:v>6.4133856010799093</c:v>
                </c:pt>
                <c:pt idx="105">
                  <c:v>6.9433517922005938</c:v>
                </c:pt>
                <c:pt idx="106">
                  <c:v>6.942408844351168</c:v>
                </c:pt>
                <c:pt idx="107">
                  <c:v>7.1362957295027174</c:v>
                </c:pt>
                <c:pt idx="108">
                  <c:v>6.9480324235009201</c:v>
                </c:pt>
                <c:pt idx="109">
                  <c:v>7.3572125638515322</c:v>
                </c:pt>
                <c:pt idx="110">
                  <c:v>7.4012790475098962</c:v>
                </c:pt>
                <c:pt idx="111">
                  <c:v>8.021553478965691</c:v>
                </c:pt>
                <c:pt idx="112">
                  <c:v>7.9098827939738783</c:v>
                </c:pt>
                <c:pt idx="113">
                  <c:v>7.6778737751057724</c:v>
                </c:pt>
                <c:pt idx="114">
                  <c:v>7.4315105200797866</c:v>
                </c:pt>
                <c:pt idx="115">
                  <c:v>7.1431778639574173</c:v>
                </c:pt>
                <c:pt idx="116">
                  <c:v>7.4585774662928159</c:v>
                </c:pt>
                <c:pt idx="117">
                  <c:v>7.5255342894851447</c:v>
                </c:pt>
                <c:pt idx="118">
                  <c:v>6.9277021459973067</c:v>
                </c:pt>
                <c:pt idx="119">
                  <c:v>7.1663396634911196</c:v>
                </c:pt>
                <c:pt idx="120">
                  <c:v>6.1486268729238862</c:v>
                </c:pt>
                <c:pt idx="121">
                  <c:v>6.5722506930707381</c:v>
                </c:pt>
                <c:pt idx="122">
                  <c:v>6.7204969563944088</c:v>
                </c:pt>
                <c:pt idx="123">
                  <c:v>6.5751928033249163</c:v>
                </c:pt>
                <c:pt idx="124">
                  <c:v>6.625342527435814</c:v>
                </c:pt>
                <c:pt idx="125">
                  <c:v>6.7489347248032505</c:v>
                </c:pt>
                <c:pt idx="126">
                  <c:v>6.5894122136721993</c:v>
                </c:pt>
                <c:pt idx="127">
                  <c:v>6.186476162874925</c:v>
                </c:pt>
                <c:pt idx="128">
                  <c:v>6.4133874415581555</c:v>
                </c:pt>
                <c:pt idx="129">
                  <c:v>6.2290637223654892</c:v>
                </c:pt>
                <c:pt idx="130">
                  <c:v>6.2902470469771181</c:v>
                </c:pt>
                <c:pt idx="131">
                  <c:v>6.1826304054661314</c:v>
                </c:pt>
                <c:pt idx="132">
                  <c:v>5.7445698759610311</c:v>
                </c:pt>
                <c:pt idx="133">
                  <c:v>5.9401833451112251</c:v>
                </c:pt>
                <c:pt idx="134">
                  <c:v>6.2283289670230264</c:v>
                </c:pt>
                <c:pt idx="135">
                  <c:v>6.0901542048989663</c:v>
                </c:pt>
                <c:pt idx="136">
                  <c:v>6.1161240223595499</c:v>
                </c:pt>
                <c:pt idx="137">
                  <c:v>5.9154878466851919</c:v>
                </c:pt>
                <c:pt idx="138">
                  <c:v>5.8055792778216295</c:v>
                </c:pt>
                <c:pt idx="139">
                  <c:v>5.7572570147361226</c:v>
                </c:pt>
                <c:pt idx="140">
                  <c:v>5.5809728004009198</c:v>
                </c:pt>
                <c:pt idx="141">
                  <c:v>5.3544191562404855</c:v>
                </c:pt>
                <c:pt idx="142">
                  <c:v>5.1259485649377599</c:v>
                </c:pt>
                <c:pt idx="143">
                  <c:v>4.9432426247723926</c:v>
                </c:pt>
                <c:pt idx="144">
                  <c:v>4.3814347262107205</c:v>
                </c:pt>
                <c:pt idx="145">
                  <c:v>4.6258488815232841</c:v>
                </c:pt>
                <c:pt idx="146">
                  <c:v>4.7370717605500445</c:v>
                </c:pt>
                <c:pt idx="147">
                  <c:v>4.6349282928946298</c:v>
                </c:pt>
                <c:pt idx="148">
                  <c:v>4.8301525233799216</c:v>
                </c:pt>
                <c:pt idx="149">
                  <c:v>4.7317829365671322</c:v>
                </c:pt>
                <c:pt idx="150">
                  <c:v>4.7064549657943884</c:v>
                </c:pt>
                <c:pt idx="151">
                  <c:v>4.8514775798710312</c:v>
                </c:pt>
                <c:pt idx="152">
                  <c:v>4.7024065411152467</c:v>
                </c:pt>
                <c:pt idx="153">
                  <c:v>4.4852073286644476</c:v>
                </c:pt>
                <c:pt idx="154">
                  <c:v>4.5144717731651989</c:v>
                </c:pt>
                <c:pt idx="155">
                  <c:v>4.4576781139935031</c:v>
                </c:pt>
                <c:pt idx="156">
                  <c:v>4.0127774813213639</c:v>
                </c:pt>
                <c:pt idx="157">
                  <c:v>4.1489575253173232</c:v>
                </c:pt>
                <c:pt idx="158">
                  <c:v>4.4726870698213146</c:v>
                </c:pt>
                <c:pt idx="159">
                  <c:v>4.6436654526111312</c:v>
                </c:pt>
                <c:pt idx="160">
                  <c:v>4.6031800733515684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4.840351516197086</c:v>
                </c:pt>
                <c:pt idx="164">
                  <c:v>4.926184360558401</c:v>
                </c:pt>
                <c:pt idx="165">
                  <c:v>5.0975614837989163</c:v>
                </c:pt>
                <c:pt idx="166">
                  <c:v>5.0917194681825189</c:v>
                </c:pt>
                <c:pt idx="167">
                  <c:v>5.3131688483458452</c:v>
                </c:pt>
                <c:pt idx="168">
                  <c:v>5.2029523580738539</c:v>
                </c:pt>
                <c:pt idx="169">
                  <c:v>5.4341694168594277</c:v>
                </c:pt>
                <c:pt idx="170">
                  <c:v>5.7088306293429021</c:v>
                </c:pt>
                <c:pt idx="171">
                  <c:v>6.1339227370390006</c:v>
                </c:pt>
                <c:pt idx="172">
                  <c:v>6.0216578273712598</c:v>
                </c:pt>
                <c:pt idx="173">
                  <c:v>5.9694077570789021</c:v>
                </c:pt>
                <c:pt idx="174">
                  <c:v>6.0977208111722492</c:v>
                </c:pt>
                <c:pt idx="175">
                  <c:v>6.1350678724701799</c:v>
                </c:pt>
                <c:pt idx="176">
                  <c:v>6.2968101971418511</c:v>
                </c:pt>
                <c:pt idx="177">
                  <c:v>6.3280429423385813</c:v>
                </c:pt>
                <c:pt idx="178">
                  <c:v>6.2256027814778934</c:v>
                </c:pt>
                <c:pt idx="179">
                  <c:v>6.3128185954940434</c:v>
                </c:pt>
                <c:pt idx="180">
                  <c:v>6.3734209443715368</c:v>
                </c:pt>
                <c:pt idx="181">
                  <c:v>6.8113460796461238</c:v>
                </c:pt>
                <c:pt idx="182">
                  <c:v>6.9932119487069047</c:v>
                </c:pt>
                <c:pt idx="183">
                  <c:v>7.0241894041274042</c:v>
                </c:pt>
                <c:pt idx="184">
                  <c:v>7.0539256421542591</c:v>
                </c:pt>
                <c:pt idx="185">
                  <c:v>7.0425325391810309</c:v>
                </c:pt>
                <c:pt idx="186">
                  <c:v>7.3130262396353292</c:v>
                </c:pt>
                <c:pt idx="187">
                  <c:v>7.1833939666892794</c:v>
                </c:pt>
                <c:pt idx="188">
                  <c:v>7.2743681551352219</c:v>
                </c:pt>
                <c:pt idx="189">
                  <c:v>7.2405778319539316</c:v>
                </c:pt>
                <c:pt idx="190">
                  <c:v>7.3756969463114617</c:v>
                </c:pt>
                <c:pt idx="191">
                  <c:v>7.5645904551425591</c:v>
                </c:pt>
                <c:pt idx="192">
                  <c:v>7.4501136869153655</c:v>
                </c:pt>
                <c:pt idx="193">
                  <c:v>7.5926774601238662</c:v>
                </c:pt>
                <c:pt idx="194">
                  <c:v>6.5463965912240099</c:v>
                </c:pt>
                <c:pt idx="195">
                  <c:v>6.6490395564810001</c:v>
                </c:pt>
                <c:pt idx="196">
                  <c:v>6.3977612588977877</c:v>
                </c:pt>
                <c:pt idx="197">
                  <c:v>6.1696629980326732</c:v>
                </c:pt>
                <c:pt idx="198">
                  <c:v>6.3504885504001605</c:v>
                </c:pt>
                <c:pt idx="199">
                  <c:v>6.3617976822734361</c:v>
                </c:pt>
                <c:pt idx="200">
                  <c:v>6.3635391633653997</c:v>
                </c:pt>
                <c:pt idx="201">
                  <c:v>6.350505639723333</c:v>
                </c:pt>
                <c:pt idx="202">
                  <c:v>6.4050880552921532</c:v>
                </c:pt>
                <c:pt idx="203">
                  <c:v>6.5885294478571916</c:v>
                </c:pt>
                <c:pt idx="204">
                  <c:v>6.4706963517785541</c:v>
                </c:pt>
                <c:pt idx="205">
                  <c:v>6.7345125666953001</c:v>
                </c:pt>
                <c:pt idx="206">
                  <c:v>6.7807712662871662</c:v>
                </c:pt>
                <c:pt idx="207">
                  <c:v>6.9436768128908843</c:v>
                </c:pt>
                <c:pt idx="208">
                  <c:v>6.9043421531353735</c:v>
                </c:pt>
                <c:pt idx="209">
                  <c:v>7.3543466623435894</c:v>
                </c:pt>
                <c:pt idx="210">
                  <c:v>7.0869687765515881</c:v>
                </c:pt>
                <c:pt idx="211">
                  <c:v>7.162408528995214</c:v>
                </c:pt>
                <c:pt idx="212">
                  <c:v>7.1114496745504887</c:v>
                </c:pt>
                <c:pt idx="213">
                  <c:v>6.9441034714683481</c:v>
                </c:pt>
                <c:pt idx="214">
                  <c:v>7.149465681914239</c:v>
                </c:pt>
                <c:pt idx="215">
                  <c:v>7.3379330317688005</c:v>
                </c:pt>
                <c:pt idx="216">
                  <c:v>7.2077100066898101</c:v>
                </c:pt>
                <c:pt idx="217">
                  <c:v>7.4952388170871158</c:v>
                </c:pt>
                <c:pt idx="218">
                  <c:v>7.6245758709301139</c:v>
                </c:pt>
                <c:pt idx="219">
                  <c:v>7.5459971723659782</c:v>
                </c:pt>
                <c:pt idx="220">
                  <c:v>7.8492350631431211</c:v>
                </c:pt>
                <c:pt idx="221">
                  <c:v>7.8700595773569058</c:v>
                </c:pt>
                <c:pt idx="222">
                  <c:v>7.7413352123337082</c:v>
                </c:pt>
                <c:pt idx="223">
                  <c:v>7.7158471339898851</c:v>
                </c:pt>
                <c:pt idx="224">
                  <c:v>7.7185195957209132</c:v>
                </c:pt>
                <c:pt idx="225">
                  <c:v>7.6612324973280188</c:v>
                </c:pt>
                <c:pt idx="226">
                  <c:v>7.5234894497661635</c:v>
                </c:pt>
                <c:pt idx="227">
                  <c:v>7.6543485823002344</c:v>
                </c:pt>
                <c:pt idx="228">
                  <c:v>7.7277888954760332</c:v>
                </c:pt>
                <c:pt idx="229">
                  <c:v>7.9886578768900067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144-444C-B5CF-15D05E9655FA}"/>
            </c:ext>
          </c:extLst>
        </c:ser>
        <c:ser>
          <c:idx val="7"/>
          <c:order val="4"/>
          <c:tx>
            <c:strRef>
              <c:f>'G2.4B'!$K$3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'G2.4B'!$K$4:$K$233</c:f>
              <c:numCache>
                <c:formatCode>0.0</c:formatCode>
                <c:ptCount val="230"/>
                <c:pt idx="0">
                  <c:v>10.618019472143347</c:v>
                </c:pt>
                <c:pt idx="1">
                  <c:v>12.087305287420968</c:v>
                </c:pt>
                <c:pt idx="2">
                  <c:v>12.870428834682185</c:v>
                </c:pt>
                <c:pt idx="3">
                  <c:v>13.669135178322945</c:v>
                </c:pt>
                <c:pt idx="4">
                  <c:v>14.641145792378337</c:v>
                </c:pt>
                <c:pt idx="5">
                  <c:v>14.177321284464975</c:v>
                </c:pt>
                <c:pt idx="6">
                  <c:v>12.824030976114093</c:v>
                </c:pt>
                <c:pt idx="7">
                  <c:v>13.397457577611538</c:v>
                </c:pt>
                <c:pt idx="8">
                  <c:v>13.4771432762085</c:v>
                </c:pt>
                <c:pt idx="9">
                  <c:v>13.315482521916723</c:v>
                </c:pt>
                <c:pt idx="10">
                  <c:v>14.308456548605115</c:v>
                </c:pt>
                <c:pt idx="11">
                  <c:v>16.186922870391879</c:v>
                </c:pt>
                <c:pt idx="12">
                  <c:v>13.471831706662234</c:v>
                </c:pt>
                <c:pt idx="13">
                  <c:v>14.444737003007464</c:v>
                </c:pt>
                <c:pt idx="14">
                  <c:v>12.769521789491757</c:v>
                </c:pt>
                <c:pt idx="15">
                  <c:v>12.086515205946698</c:v>
                </c:pt>
                <c:pt idx="16">
                  <c:v>11.54050216539701</c:v>
                </c:pt>
                <c:pt idx="17">
                  <c:v>11.170743050788209</c:v>
                </c:pt>
                <c:pt idx="18">
                  <c:v>10.444279445289686</c:v>
                </c:pt>
                <c:pt idx="19">
                  <c:v>11.432004253455659</c:v>
                </c:pt>
                <c:pt idx="20">
                  <c:v>11.832785909283082</c:v>
                </c:pt>
                <c:pt idx="21">
                  <c:v>12.159472756937539</c:v>
                </c:pt>
                <c:pt idx="22">
                  <c:v>11.40111150062838</c:v>
                </c:pt>
                <c:pt idx="23">
                  <c:v>11.362612631169057</c:v>
                </c:pt>
                <c:pt idx="24">
                  <c:v>10.839533342735727</c:v>
                </c:pt>
                <c:pt idx="25">
                  <c:v>11.285914847414814</c:v>
                </c:pt>
                <c:pt idx="26">
                  <c:v>11.22600458464766</c:v>
                </c:pt>
                <c:pt idx="27">
                  <c:v>11.184176902338393</c:v>
                </c:pt>
                <c:pt idx="28">
                  <c:v>11.110178384630956</c:v>
                </c:pt>
                <c:pt idx="29">
                  <c:v>10.846077570373842</c:v>
                </c:pt>
                <c:pt idx="30">
                  <c:v>10.526171036873352</c:v>
                </c:pt>
                <c:pt idx="31">
                  <c:v>10.606375517788104</c:v>
                </c:pt>
                <c:pt idx="32">
                  <c:v>10.591086249220087</c:v>
                </c:pt>
                <c:pt idx="33">
                  <c:v>10.502165379115873</c:v>
                </c:pt>
                <c:pt idx="34">
                  <c:v>10.351730558423558</c:v>
                </c:pt>
                <c:pt idx="35">
                  <c:v>10.074002240973224</c:v>
                </c:pt>
                <c:pt idx="36">
                  <c:v>9.5379084397792884</c:v>
                </c:pt>
                <c:pt idx="37">
                  <c:v>13.760696870457091</c:v>
                </c:pt>
                <c:pt idx="38">
                  <c:v>13.642144286877052</c:v>
                </c:pt>
                <c:pt idx="39">
                  <c:v>13.722313936141433</c:v>
                </c:pt>
                <c:pt idx="40">
                  <c:v>13.504206355002053</c:v>
                </c:pt>
                <c:pt idx="41">
                  <c:v>13.408734576376855</c:v>
                </c:pt>
                <c:pt idx="42">
                  <c:v>13.1562368495798</c:v>
                </c:pt>
                <c:pt idx="43">
                  <c:v>12.795471799286851</c:v>
                </c:pt>
                <c:pt idx="44">
                  <c:v>12.412743996054562</c:v>
                </c:pt>
                <c:pt idx="45">
                  <c:v>12.067802873483908</c:v>
                </c:pt>
                <c:pt idx="46">
                  <c:v>11.897857053804334</c:v>
                </c:pt>
                <c:pt idx="47">
                  <c:v>11.859270315102174</c:v>
                </c:pt>
                <c:pt idx="48">
                  <c:v>11.015890494353668</c:v>
                </c:pt>
                <c:pt idx="49">
                  <c:v>11.005856037937829</c:v>
                </c:pt>
                <c:pt idx="50">
                  <c:v>10.97748557765374</c:v>
                </c:pt>
                <c:pt idx="51">
                  <c:v>11.108049683588956</c:v>
                </c:pt>
                <c:pt idx="52">
                  <c:v>10.88056391517774</c:v>
                </c:pt>
                <c:pt idx="53">
                  <c:v>10.916304737827668</c:v>
                </c:pt>
                <c:pt idx="54">
                  <c:v>10.58459500288286</c:v>
                </c:pt>
                <c:pt idx="55">
                  <c:v>10.239327201370454</c:v>
                </c:pt>
                <c:pt idx="56">
                  <c:v>10.274956470359919</c:v>
                </c:pt>
                <c:pt idx="57">
                  <c:v>10.068269678366592</c:v>
                </c:pt>
                <c:pt idx="58">
                  <c:v>9.7819876218494528</c:v>
                </c:pt>
                <c:pt idx="59">
                  <c:v>9.6679957293985073</c:v>
                </c:pt>
                <c:pt idx="60">
                  <c:v>8.7452716243403934</c:v>
                </c:pt>
                <c:pt idx="61">
                  <c:v>8.797284574214677</c:v>
                </c:pt>
                <c:pt idx="62">
                  <c:v>8.6462396704703401</c:v>
                </c:pt>
                <c:pt idx="63">
                  <c:v>8.6472776006873691</c:v>
                </c:pt>
                <c:pt idx="64">
                  <c:v>8.6302430356800013</c:v>
                </c:pt>
                <c:pt idx="65">
                  <c:v>8.231587927408242</c:v>
                </c:pt>
                <c:pt idx="66">
                  <c:v>7.2079620968999798</c:v>
                </c:pt>
                <c:pt idx="67">
                  <c:v>7.136278390005546</c:v>
                </c:pt>
                <c:pt idx="68">
                  <c:v>6.6559050338044976</c:v>
                </c:pt>
                <c:pt idx="69">
                  <c:v>6.0467986782961392</c:v>
                </c:pt>
                <c:pt idx="70">
                  <c:v>5.8882378550242001</c:v>
                </c:pt>
                <c:pt idx="71">
                  <c:v>5.6863269600525364</c:v>
                </c:pt>
                <c:pt idx="72">
                  <c:v>4.5651602686133881</c:v>
                </c:pt>
                <c:pt idx="73">
                  <c:v>4.8448683438205249</c:v>
                </c:pt>
                <c:pt idx="74">
                  <c:v>4.7972223524323034</c:v>
                </c:pt>
                <c:pt idx="75">
                  <c:v>4.8640117963545419</c:v>
                </c:pt>
                <c:pt idx="76">
                  <c:v>4.7145525156558659</c:v>
                </c:pt>
                <c:pt idx="77">
                  <c:v>4.7802875559826212</c:v>
                </c:pt>
                <c:pt idx="78">
                  <c:v>4.3895620342426982</c:v>
                </c:pt>
                <c:pt idx="79">
                  <c:v>4.5111873134473681</c:v>
                </c:pt>
                <c:pt idx="80">
                  <c:v>4.463842543390995</c:v>
                </c:pt>
                <c:pt idx="81">
                  <c:v>4.330843345465289</c:v>
                </c:pt>
                <c:pt idx="82">
                  <c:v>4.4273394995485305</c:v>
                </c:pt>
                <c:pt idx="83">
                  <c:v>4.3172431025740599</c:v>
                </c:pt>
                <c:pt idx="84">
                  <c:v>3.5737805362574737</c:v>
                </c:pt>
                <c:pt idx="85">
                  <c:v>3.8966255834872774</c:v>
                </c:pt>
                <c:pt idx="86">
                  <c:v>3.8840899133554756</c:v>
                </c:pt>
                <c:pt idx="87">
                  <c:v>3.9898779351710441</c:v>
                </c:pt>
                <c:pt idx="88">
                  <c:v>4.0372249838479073</c:v>
                </c:pt>
                <c:pt idx="89">
                  <c:v>4.336073657380167</c:v>
                </c:pt>
                <c:pt idx="90">
                  <c:v>3.657864944013419</c:v>
                </c:pt>
                <c:pt idx="91">
                  <c:v>3.7507861968255516</c:v>
                </c:pt>
                <c:pt idx="92">
                  <c:v>3.5107050142368403</c:v>
                </c:pt>
                <c:pt idx="93">
                  <c:v>3.487870231698043</c:v>
                </c:pt>
                <c:pt idx="94">
                  <c:v>3.540588705695356</c:v>
                </c:pt>
                <c:pt idx="95">
                  <c:v>3.4498740566352364</c:v>
                </c:pt>
                <c:pt idx="96">
                  <c:v>3.2074090862312836</c:v>
                </c:pt>
                <c:pt idx="97">
                  <c:v>3.4300061651797589</c:v>
                </c:pt>
                <c:pt idx="98">
                  <c:v>3.4462647626047715</c:v>
                </c:pt>
                <c:pt idx="99">
                  <c:v>3.4604488506597733</c:v>
                </c:pt>
                <c:pt idx="100">
                  <c:v>3.6617900192127468</c:v>
                </c:pt>
                <c:pt idx="101">
                  <c:v>3.5742397725114934</c:v>
                </c:pt>
                <c:pt idx="102">
                  <c:v>3.6085820434520675</c:v>
                </c:pt>
                <c:pt idx="103">
                  <c:v>3.7444466002434091</c:v>
                </c:pt>
                <c:pt idx="104">
                  <c:v>3.7021494987713965</c:v>
                </c:pt>
                <c:pt idx="105">
                  <c:v>3.7433083154823188</c:v>
                </c:pt>
                <c:pt idx="106">
                  <c:v>3.8561431804848931</c:v>
                </c:pt>
                <c:pt idx="107">
                  <c:v>3.9942416149614446</c:v>
                </c:pt>
                <c:pt idx="108">
                  <c:v>3.7598040454919084</c:v>
                </c:pt>
                <c:pt idx="109">
                  <c:v>4.0633682561050524</c:v>
                </c:pt>
                <c:pt idx="110">
                  <c:v>4.2191645173276093</c:v>
                </c:pt>
                <c:pt idx="111">
                  <c:v>4.5647999725002704</c:v>
                </c:pt>
                <c:pt idx="112">
                  <c:v>4.5625536807718623</c:v>
                </c:pt>
                <c:pt idx="113">
                  <c:v>4.7270159240941974</c:v>
                </c:pt>
                <c:pt idx="114">
                  <c:v>4.5066545907872646</c:v>
                </c:pt>
                <c:pt idx="115">
                  <c:v>4.4942708074153472</c:v>
                </c:pt>
                <c:pt idx="116">
                  <c:v>4.764254842298425</c:v>
                </c:pt>
                <c:pt idx="117">
                  <c:v>4.6901057355658224</c:v>
                </c:pt>
                <c:pt idx="118">
                  <c:v>4.6584232822974165</c:v>
                </c:pt>
                <c:pt idx="119">
                  <c:v>4.9663444723839589</c:v>
                </c:pt>
                <c:pt idx="120">
                  <c:v>4.591208328528011</c:v>
                </c:pt>
                <c:pt idx="121">
                  <c:v>5.0014264302679772</c:v>
                </c:pt>
                <c:pt idx="122">
                  <c:v>5.1451523592792388</c:v>
                </c:pt>
                <c:pt idx="123">
                  <c:v>5.1676329425298722</c:v>
                </c:pt>
                <c:pt idx="124">
                  <c:v>5.3518670591348698</c:v>
                </c:pt>
                <c:pt idx="125">
                  <c:v>5.3905630376239939</c:v>
                </c:pt>
                <c:pt idx="126">
                  <c:v>5.2402213268982205</c:v>
                </c:pt>
                <c:pt idx="127">
                  <c:v>5.1066739844939919</c:v>
                </c:pt>
                <c:pt idx="128">
                  <c:v>5.3424959430091334</c:v>
                </c:pt>
                <c:pt idx="129">
                  <c:v>5.1018160582215808</c:v>
                </c:pt>
                <c:pt idx="130">
                  <c:v>5.1409242892722133</c:v>
                </c:pt>
                <c:pt idx="131">
                  <c:v>5.2133574000361103</c:v>
                </c:pt>
                <c:pt idx="132">
                  <c:v>4.5858333397022939</c:v>
                </c:pt>
                <c:pt idx="133">
                  <c:v>4.8599375524701518</c:v>
                </c:pt>
                <c:pt idx="134">
                  <c:v>4.9723677672142843</c:v>
                </c:pt>
                <c:pt idx="135">
                  <c:v>4.8675164512988678</c:v>
                </c:pt>
                <c:pt idx="136">
                  <c:v>4.9718978707960826</c:v>
                </c:pt>
                <c:pt idx="137">
                  <c:v>4.7652667962197537</c:v>
                </c:pt>
                <c:pt idx="138">
                  <c:v>4.4090586303208958</c:v>
                </c:pt>
                <c:pt idx="139">
                  <c:v>4.4530296878909814</c:v>
                </c:pt>
                <c:pt idx="140">
                  <c:v>4.2667331891127773</c:v>
                </c:pt>
                <c:pt idx="141">
                  <c:v>3.9175144944808964</c:v>
                </c:pt>
                <c:pt idx="142">
                  <c:v>3.8994103093933012</c:v>
                </c:pt>
                <c:pt idx="143">
                  <c:v>3.7038845468197352</c:v>
                </c:pt>
                <c:pt idx="144">
                  <c:v>3.2199867195202501</c:v>
                </c:pt>
                <c:pt idx="145">
                  <c:v>3.4380527418299991</c:v>
                </c:pt>
                <c:pt idx="146">
                  <c:v>3.4908563340447727</c:v>
                </c:pt>
                <c:pt idx="147">
                  <c:v>3.4165191298156108</c:v>
                </c:pt>
                <c:pt idx="148">
                  <c:v>3.4542613505064903</c:v>
                </c:pt>
                <c:pt idx="149">
                  <c:v>3.2297191602965256</c:v>
                </c:pt>
                <c:pt idx="150">
                  <c:v>3.1537020177141248</c:v>
                </c:pt>
                <c:pt idx="151">
                  <c:v>3.2477937040575182</c:v>
                </c:pt>
                <c:pt idx="152">
                  <c:v>3.1691946091751397</c:v>
                </c:pt>
                <c:pt idx="153">
                  <c:v>3.1660767062986799</c:v>
                </c:pt>
                <c:pt idx="154">
                  <c:v>3.2663429216574009</c:v>
                </c:pt>
                <c:pt idx="155">
                  <c:v>3.141443573241685</c:v>
                </c:pt>
                <c:pt idx="156">
                  <c:v>2.8029710732072202</c:v>
                </c:pt>
                <c:pt idx="157">
                  <c:v>3.0584765461249992</c:v>
                </c:pt>
                <c:pt idx="158">
                  <c:v>3.1634361288317816</c:v>
                </c:pt>
                <c:pt idx="159">
                  <c:v>3.1658332590289255</c:v>
                </c:pt>
                <c:pt idx="160">
                  <c:v>3.3465777683836149</c:v>
                </c:pt>
                <c:pt idx="161">
                  <c:v>3.2788788247183147</c:v>
                </c:pt>
                <c:pt idx="162">
                  <c:v>3.2337913730064125</c:v>
                </c:pt>
                <c:pt idx="163">
                  <c:v>3.3174062237122199</c:v>
                </c:pt>
                <c:pt idx="164">
                  <c:v>3.2750084614305344</c:v>
                </c:pt>
                <c:pt idx="165">
                  <c:v>3.2964129285364159</c:v>
                </c:pt>
                <c:pt idx="166">
                  <c:v>3.2596024202061464</c:v>
                </c:pt>
                <c:pt idx="167">
                  <c:v>3.3415667955995363</c:v>
                </c:pt>
                <c:pt idx="168">
                  <c:v>3.155765418888627</c:v>
                </c:pt>
                <c:pt idx="169">
                  <c:v>3.3470656471866422</c:v>
                </c:pt>
                <c:pt idx="170">
                  <c:v>3.3956704151778423</c:v>
                </c:pt>
                <c:pt idx="171">
                  <c:v>3.6133560996443292</c:v>
                </c:pt>
                <c:pt idx="172">
                  <c:v>3.601293377287333</c:v>
                </c:pt>
                <c:pt idx="173">
                  <c:v>3.4434082150366705</c:v>
                </c:pt>
                <c:pt idx="174">
                  <c:v>3.3691314749280115</c:v>
                </c:pt>
                <c:pt idx="175">
                  <c:v>3.2673644299699598</c:v>
                </c:pt>
                <c:pt idx="176">
                  <c:v>3.3622310078089446</c:v>
                </c:pt>
                <c:pt idx="177">
                  <c:v>3.35561310480356</c:v>
                </c:pt>
                <c:pt idx="178">
                  <c:v>3.3128258313650445</c:v>
                </c:pt>
                <c:pt idx="179">
                  <c:v>3.4016451256097908</c:v>
                </c:pt>
                <c:pt idx="180">
                  <c:v>3.1197777371697639</c:v>
                </c:pt>
                <c:pt idx="181">
                  <c:v>3.2806017221085302</c:v>
                </c:pt>
                <c:pt idx="182">
                  <c:v>3.327895452102327</c:v>
                </c:pt>
                <c:pt idx="183">
                  <c:v>3.4124984756290182</c:v>
                </c:pt>
                <c:pt idx="184">
                  <c:v>3.4702782201651483</c:v>
                </c:pt>
                <c:pt idx="185">
                  <c:v>3.4416448681974781</c:v>
                </c:pt>
                <c:pt idx="186">
                  <c:v>3.4714394717561272</c:v>
                </c:pt>
                <c:pt idx="187">
                  <c:v>3.3464885334028907</c:v>
                </c:pt>
                <c:pt idx="188">
                  <c:v>3.5011034522757316</c:v>
                </c:pt>
                <c:pt idx="189">
                  <c:v>3.4666160448053964</c:v>
                </c:pt>
                <c:pt idx="190">
                  <c:v>3.4361189216140482</c:v>
                </c:pt>
                <c:pt idx="191">
                  <c:v>3.4804018233722975</c:v>
                </c:pt>
                <c:pt idx="192">
                  <c:v>3.2499893548519063</c:v>
                </c:pt>
                <c:pt idx="193">
                  <c:v>3.4440741564672837</c:v>
                </c:pt>
                <c:pt idx="194">
                  <c:v>3.436179696053443</c:v>
                </c:pt>
                <c:pt idx="195">
                  <c:v>3.3782421193293657</c:v>
                </c:pt>
                <c:pt idx="196">
                  <c:v>3.496238443689256</c:v>
                </c:pt>
                <c:pt idx="197">
                  <c:v>3.4990285334613582</c:v>
                </c:pt>
                <c:pt idx="198">
                  <c:v>3.5114755306538243</c:v>
                </c:pt>
                <c:pt idx="199">
                  <c:v>3.4070018537985773</c:v>
                </c:pt>
                <c:pt idx="200">
                  <c:v>3.4322948124065098</c:v>
                </c:pt>
                <c:pt idx="201">
                  <c:v>3.3974998362980147</c:v>
                </c:pt>
                <c:pt idx="202">
                  <c:v>3.365093217323301</c:v>
                </c:pt>
                <c:pt idx="203">
                  <c:v>3.4566090079387046</c:v>
                </c:pt>
                <c:pt idx="204">
                  <c:v>3.2190049064085087</c:v>
                </c:pt>
                <c:pt idx="205">
                  <c:v>3.3941299925660391</c:v>
                </c:pt>
                <c:pt idx="206">
                  <c:v>3.4815649732363418</c:v>
                </c:pt>
                <c:pt idx="207">
                  <c:v>3.5789858635939598</c:v>
                </c:pt>
                <c:pt idx="208">
                  <c:v>3.6370655955265274</c:v>
                </c:pt>
                <c:pt idx="209">
                  <c:v>3.6508012348034087</c:v>
                </c:pt>
                <c:pt idx="210">
                  <c:v>3.4962371983866993</c:v>
                </c:pt>
                <c:pt idx="211">
                  <c:v>3.7079034532853905</c:v>
                </c:pt>
                <c:pt idx="212">
                  <c:v>3.6887341169021566</c:v>
                </c:pt>
                <c:pt idx="213">
                  <c:v>3.6966930324491649</c:v>
                </c:pt>
                <c:pt idx="214">
                  <c:v>3.8660307867427699</c:v>
                </c:pt>
                <c:pt idx="215">
                  <c:v>3.9110372680244732</c:v>
                </c:pt>
                <c:pt idx="216">
                  <c:v>3.591683584233746</c:v>
                </c:pt>
                <c:pt idx="217">
                  <c:v>4.2108810857246342</c:v>
                </c:pt>
                <c:pt idx="218">
                  <c:v>4.2471400608845684</c:v>
                </c:pt>
                <c:pt idx="219">
                  <c:v>4.4295199052014045</c:v>
                </c:pt>
                <c:pt idx="220">
                  <c:v>4.7022300233597356</c:v>
                </c:pt>
                <c:pt idx="221">
                  <c:v>4.7591031188117947</c:v>
                </c:pt>
                <c:pt idx="222">
                  <c:v>4.7829664407757511</c:v>
                </c:pt>
                <c:pt idx="223">
                  <c:v>4.9279764393745644</c:v>
                </c:pt>
                <c:pt idx="224">
                  <c:v>4.960842589913903</c:v>
                </c:pt>
                <c:pt idx="225">
                  <c:v>5.0055862374185187</c:v>
                </c:pt>
                <c:pt idx="226">
                  <c:v>4.9989023533249579</c:v>
                </c:pt>
                <c:pt idx="227">
                  <c:v>5.101668883449233</c:v>
                </c:pt>
                <c:pt idx="228">
                  <c:v>4.8307139955800453</c:v>
                </c:pt>
                <c:pt idx="229">
                  <c:v>5.1158697595616074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144-444C-B5CF-15D05E96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117408"/>
        <c:axId val="156941824"/>
      </c:lineChart>
      <c:dateAx>
        <c:axId val="66117408"/>
        <c:scaling>
          <c:orientation val="minMax"/>
          <c:max val="43101"/>
          <c:min val="37987"/>
        </c:scaling>
        <c:delete val="0"/>
        <c:axPos val="b"/>
        <c:numFmt formatCode="mmm\-yy" sourceLinked="1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56941824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156941824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crossAx val="66117408"/>
        <c:crosses val="autoZero"/>
        <c:crossBetween val="midCat"/>
        <c:minorUnit val="3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256410256410256"/>
          <c:y val="0.81798167858910353"/>
          <c:w val="0.81337738840710061"/>
          <c:h val="0.1079862269487822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64918795013654429"/>
        </c:manualLayout>
      </c:layout>
      <c:lineChart>
        <c:grouping val="standard"/>
        <c:varyColors val="0"/>
        <c:ser>
          <c:idx val="0"/>
          <c:order val="0"/>
          <c:tx>
            <c:strRef>
              <c:f>'G2.4B'!$G$3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29"/>
              <c:layout/>
              <c:tx>
                <c:rich>
                  <a:bodyPr/>
                  <a:lstStyle/>
                  <a:p>
                    <a:r>
                      <a:rPr lang="en-US"/>
                      <a:t>4,0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08E-4406-B9DC-5D5D36D0589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E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'G2.4B'!$G$4:$G$233</c:f>
              <c:numCache>
                <c:formatCode>0.0</c:formatCode>
                <c:ptCount val="230"/>
                <c:pt idx="0">
                  <c:v>8.474330025844024</c:v>
                </c:pt>
                <c:pt idx="1">
                  <c:v>9.7048274906306204</c:v>
                </c:pt>
                <c:pt idx="2">
                  <c:v>10.280485690250826</c:v>
                </c:pt>
                <c:pt idx="3">
                  <c:v>11.010602389727003</c:v>
                </c:pt>
                <c:pt idx="4">
                  <c:v>11.75462792570471</c:v>
                </c:pt>
                <c:pt idx="5">
                  <c:v>12.227981911395846</c:v>
                </c:pt>
                <c:pt idx="6">
                  <c:v>10.430312046150874</c:v>
                </c:pt>
                <c:pt idx="7">
                  <c:v>10.959277595360767</c:v>
                </c:pt>
                <c:pt idx="8">
                  <c:v>10.562895826286868</c:v>
                </c:pt>
                <c:pt idx="9">
                  <c:v>10.57060978737376</c:v>
                </c:pt>
                <c:pt idx="10">
                  <c:v>10.970177142104697</c:v>
                </c:pt>
                <c:pt idx="11">
                  <c:v>12.384358007601472</c:v>
                </c:pt>
                <c:pt idx="12">
                  <c:v>9.3344339926094246</c:v>
                </c:pt>
                <c:pt idx="13">
                  <c:v>9.9990865477687922</c:v>
                </c:pt>
                <c:pt idx="14">
                  <c:v>9.4029838246340045</c:v>
                </c:pt>
                <c:pt idx="15">
                  <c:v>9.2700791948458008</c:v>
                </c:pt>
                <c:pt idx="16">
                  <c:v>9.4875177161255717</c:v>
                </c:pt>
                <c:pt idx="17">
                  <c:v>9.2563928171765113</c:v>
                </c:pt>
                <c:pt idx="18">
                  <c:v>8.2660656021491459</c:v>
                </c:pt>
                <c:pt idx="19">
                  <c:v>8.8430619247658466</c:v>
                </c:pt>
                <c:pt idx="20">
                  <c:v>8.8007635678473637</c:v>
                </c:pt>
                <c:pt idx="21">
                  <c:v>8.4764500276229118</c:v>
                </c:pt>
                <c:pt idx="22">
                  <c:v>7.6597969377046073</c:v>
                </c:pt>
                <c:pt idx="23">
                  <c:v>7.0431694549598216</c:v>
                </c:pt>
                <c:pt idx="24">
                  <c:v>6.497018700249523</c:v>
                </c:pt>
                <c:pt idx="25">
                  <c:v>6.9402231360747946</c:v>
                </c:pt>
                <c:pt idx="26">
                  <c:v>6.6030098876500061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6.6884890001463617</c:v>
                </c:pt>
                <c:pt idx="30">
                  <c:v>6.3100191192317023</c:v>
                </c:pt>
                <c:pt idx="31">
                  <c:v>6.3323537981259257</c:v>
                </c:pt>
                <c:pt idx="32">
                  <c:v>6.2146478665001519</c:v>
                </c:pt>
                <c:pt idx="33">
                  <c:v>5.8105981292089997</c:v>
                </c:pt>
                <c:pt idx="34">
                  <c:v>5.6808811324074178</c:v>
                </c:pt>
                <c:pt idx="35">
                  <c:v>5.3306013026385841</c:v>
                </c:pt>
                <c:pt idx="36">
                  <c:v>4.7826981520365495</c:v>
                </c:pt>
                <c:pt idx="37">
                  <c:v>6.3202969107233029</c:v>
                </c:pt>
                <c:pt idx="38">
                  <c:v>6.0115184883741497</c:v>
                </c:pt>
                <c:pt idx="39">
                  <c:v>5.6205967511330437</c:v>
                </c:pt>
                <c:pt idx="40">
                  <c:v>5.5247410485002915</c:v>
                </c:pt>
                <c:pt idx="41">
                  <c:v>5.2808924629229761</c:v>
                </c:pt>
                <c:pt idx="42">
                  <c:v>5.3846759236523409</c:v>
                </c:pt>
                <c:pt idx="43">
                  <c:v>5.2659139136306869</c:v>
                </c:pt>
                <c:pt idx="44">
                  <c:v>4.6428685407409258</c:v>
                </c:pt>
                <c:pt idx="45">
                  <c:v>4.3389020196668895</c:v>
                </c:pt>
                <c:pt idx="46">
                  <c:v>4.2408036669184472</c:v>
                </c:pt>
                <c:pt idx="47">
                  <c:v>4.2615485400030506</c:v>
                </c:pt>
                <c:pt idx="48">
                  <c:v>3.7994214609086665</c:v>
                </c:pt>
                <c:pt idx="49">
                  <c:v>3.7769855384974709</c:v>
                </c:pt>
                <c:pt idx="50">
                  <c:v>3.8829658025884535</c:v>
                </c:pt>
                <c:pt idx="51">
                  <c:v>3.6557254647752275</c:v>
                </c:pt>
                <c:pt idx="52">
                  <c:v>3.5002320628579966</c:v>
                </c:pt>
                <c:pt idx="53">
                  <c:v>3.5810151118121021</c:v>
                </c:pt>
                <c:pt idx="54">
                  <c:v>3.1614481521595756</c:v>
                </c:pt>
                <c:pt idx="55">
                  <c:v>3.0930322676648037</c:v>
                </c:pt>
                <c:pt idx="56">
                  <c:v>3.0803043989445529</c:v>
                </c:pt>
                <c:pt idx="57">
                  <c:v>2.9746236305222671</c:v>
                </c:pt>
                <c:pt idx="58">
                  <c:v>2.7701025287390508</c:v>
                </c:pt>
                <c:pt idx="59">
                  <c:v>2.5901983278448579</c:v>
                </c:pt>
                <c:pt idx="60">
                  <c:v>2.3897376661527256</c:v>
                </c:pt>
                <c:pt idx="61">
                  <c:v>2.7543588770127343</c:v>
                </c:pt>
                <c:pt idx="62">
                  <c:v>2.667174961963636</c:v>
                </c:pt>
                <c:pt idx="63">
                  <c:v>2.5940280566444129</c:v>
                </c:pt>
                <c:pt idx="64">
                  <c:v>2.6343542998737908</c:v>
                </c:pt>
                <c:pt idx="65">
                  <c:v>2.4849335634067815</c:v>
                </c:pt>
                <c:pt idx="66">
                  <c:v>2.3838036613413061</c:v>
                </c:pt>
                <c:pt idx="67">
                  <c:v>2.4790150925950889</c:v>
                </c:pt>
                <c:pt idx="68">
                  <c:v>2.4113964587989298</c:v>
                </c:pt>
                <c:pt idx="69">
                  <c:v>2.1859907629624331</c:v>
                </c:pt>
                <c:pt idx="70">
                  <c:v>2.1234207932126221</c:v>
                </c:pt>
                <c:pt idx="71">
                  <c:v>2.0859176535722157</c:v>
                </c:pt>
                <c:pt idx="72">
                  <c:v>1.80581587740246</c:v>
                </c:pt>
                <c:pt idx="73">
                  <c:v>1.9801725491896669</c:v>
                </c:pt>
                <c:pt idx="74">
                  <c:v>1.921000413448303</c:v>
                </c:pt>
                <c:pt idx="75">
                  <c:v>1.9533630024754887</c:v>
                </c:pt>
                <c:pt idx="76">
                  <c:v>1.9484262579978369</c:v>
                </c:pt>
                <c:pt idx="77">
                  <c:v>1.9885309070385389</c:v>
                </c:pt>
                <c:pt idx="78">
                  <c:v>1.7988978036840391</c:v>
                </c:pt>
                <c:pt idx="79">
                  <c:v>2.032957705266436</c:v>
                </c:pt>
                <c:pt idx="80">
                  <c:v>1.9935811390595639</c:v>
                </c:pt>
                <c:pt idx="81">
                  <c:v>1.9365305283354746</c:v>
                </c:pt>
                <c:pt idx="82">
                  <c:v>1.9528614028498121</c:v>
                </c:pt>
                <c:pt idx="83">
                  <c:v>1.8922862901021793</c:v>
                </c:pt>
                <c:pt idx="84">
                  <c:v>1.6141557741652768</c:v>
                </c:pt>
                <c:pt idx="85">
                  <c:v>1.8561162149152277</c:v>
                </c:pt>
                <c:pt idx="86">
                  <c:v>1.8904855135201766</c:v>
                </c:pt>
                <c:pt idx="87">
                  <c:v>1.9622128720481846</c:v>
                </c:pt>
                <c:pt idx="88">
                  <c:v>2.1133595919509802</c:v>
                </c:pt>
                <c:pt idx="89">
                  <c:v>1.9523997296620632</c:v>
                </c:pt>
                <c:pt idx="90">
                  <c:v>1.7769792141876193</c:v>
                </c:pt>
                <c:pt idx="91">
                  <c:v>1.9521194672149844</c:v>
                </c:pt>
                <c:pt idx="92">
                  <c:v>1.6648146399763428</c:v>
                </c:pt>
                <c:pt idx="93">
                  <c:v>1.7643142682748332</c:v>
                </c:pt>
                <c:pt idx="94">
                  <c:v>1.7208708951719376</c:v>
                </c:pt>
                <c:pt idx="95">
                  <c:v>1.598764907857648</c:v>
                </c:pt>
                <c:pt idx="96">
                  <c:v>1.5147783990952026</c:v>
                </c:pt>
                <c:pt idx="97">
                  <c:v>1.6691508148353178</c:v>
                </c:pt>
                <c:pt idx="98">
                  <c:v>1.7255137154323266</c:v>
                </c:pt>
                <c:pt idx="99">
                  <c:v>1.693370385577871</c:v>
                </c:pt>
                <c:pt idx="100">
                  <c:v>1.9217502332022061</c:v>
                </c:pt>
                <c:pt idx="101">
                  <c:v>1.7998997841324142</c:v>
                </c:pt>
                <c:pt idx="102">
                  <c:v>1.8185154291347827</c:v>
                </c:pt>
                <c:pt idx="103">
                  <c:v>1.9460026584685941</c:v>
                </c:pt>
                <c:pt idx="104">
                  <c:v>1.9461123712640829</c:v>
                </c:pt>
                <c:pt idx="105">
                  <c:v>1.9390113364340276</c:v>
                </c:pt>
                <c:pt idx="106">
                  <c:v>2.0236825550712059</c:v>
                </c:pt>
                <c:pt idx="107">
                  <c:v>2.1393633266952889</c:v>
                </c:pt>
                <c:pt idx="108">
                  <c:v>2.0540984908817661</c:v>
                </c:pt>
                <c:pt idx="109">
                  <c:v>2.2535631133897529</c:v>
                </c:pt>
                <c:pt idx="110">
                  <c:v>2.3829190479468045</c:v>
                </c:pt>
                <c:pt idx="111">
                  <c:v>2.5529216342185586</c:v>
                </c:pt>
                <c:pt idx="112">
                  <c:v>2.5579908266418481</c:v>
                </c:pt>
                <c:pt idx="113">
                  <c:v>2.7591927487128443</c:v>
                </c:pt>
                <c:pt idx="114">
                  <c:v>2.6893916212937738</c:v>
                </c:pt>
                <c:pt idx="115">
                  <c:v>2.7363887558103324</c:v>
                </c:pt>
                <c:pt idx="116">
                  <c:v>2.8255831477622224</c:v>
                </c:pt>
                <c:pt idx="117">
                  <c:v>2.7615296737603847</c:v>
                </c:pt>
                <c:pt idx="118">
                  <c:v>2.777372719370637</c:v>
                </c:pt>
                <c:pt idx="119">
                  <c:v>2.9603401991312581</c:v>
                </c:pt>
                <c:pt idx="120">
                  <c:v>2.7435799871156985</c:v>
                </c:pt>
                <c:pt idx="121">
                  <c:v>3.0663252134299155</c:v>
                </c:pt>
                <c:pt idx="122">
                  <c:v>3.1580809252188091</c:v>
                </c:pt>
                <c:pt idx="123">
                  <c:v>3.206899380080281</c:v>
                </c:pt>
                <c:pt idx="124">
                  <c:v>3.3264105435353031</c:v>
                </c:pt>
                <c:pt idx="125">
                  <c:v>3.3490943140716731</c:v>
                </c:pt>
                <c:pt idx="126">
                  <c:v>3.3230528421058239</c:v>
                </c:pt>
                <c:pt idx="127">
                  <c:v>3.3612881916350958</c:v>
                </c:pt>
                <c:pt idx="128">
                  <c:v>3.5486381087430647</c:v>
                </c:pt>
                <c:pt idx="129">
                  <c:v>3.4001114254623697</c:v>
                </c:pt>
                <c:pt idx="130">
                  <c:v>3.4293754415892623</c:v>
                </c:pt>
                <c:pt idx="131">
                  <c:v>3.559931083911219</c:v>
                </c:pt>
                <c:pt idx="132">
                  <c:v>3.1633737404644733</c:v>
                </c:pt>
                <c:pt idx="133">
                  <c:v>3.4286359439711589</c:v>
                </c:pt>
                <c:pt idx="134">
                  <c:v>3.4914188216115538</c:v>
                </c:pt>
                <c:pt idx="135">
                  <c:v>3.5454085386790775</c:v>
                </c:pt>
                <c:pt idx="136">
                  <c:v>3.6076809658720519</c:v>
                </c:pt>
                <c:pt idx="137">
                  <c:v>3.3994122275074874</c:v>
                </c:pt>
                <c:pt idx="138">
                  <c:v>3.0899993569832289</c:v>
                </c:pt>
                <c:pt idx="139">
                  <c:v>3.1662425700904504</c:v>
                </c:pt>
                <c:pt idx="140">
                  <c:v>3.0509865268437557</c:v>
                </c:pt>
                <c:pt idx="141">
                  <c:v>2.6633145175073398</c:v>
                </c:pt>
                <c:pt idx="142">
                  <c:v>2.6387457991274079</c:v>
                </c:pt>
                <c:pt idx="143">
                  <c:v>2.4923558323120334</c:v>
                </c:pt>
                <c:pt idx="144">
                  <c:v>2.1023923990565101</c:v>
                </c:pt>
                <c:pt idx="145">
                  <c:v>2.3323886182386397</c:v>
                </c:pt>
                <c:pt idx="146">
                  <c:v>2.3084370806206049</c:v>
                </c:pt>
                <c:pt idx="147">
                  <c:v>2.3062329634631316</c:v>
                </c:pt>
                <c:pt idx="148">
                  <c:v>2.2614106111453292</c:v>
                </c:pt>
                <c:pt idx="149">
                  <c:v>2.0787686309821658</c:v>
                </c:pt>
                <c:pt idx="150">
                  <c:v>1.9977120797748702</c:v>
                </c:pt>
                <c:pt idx="151">
                  <c:v>2.1299114464665538</c:v>
                </c:pt>
                <c:pt idx="152">
                  <c:v>2.0640955198703734</c:v>
                </c:pt>
                <c:pt idx="153">
                  <c:v>2.0659713935099786</c:v>
                </c:pt>
                <c:pt idx="154">
                  <c:v>2.1342113363542925</c:v>
                </c:pt>
                <c:pt idx="155">
                  <c:v>1.9642726082870428</c:v>
                </c:pt>
                <c:pt idx="156">
                  <c:v>1.6932607360887597</c:v>
                </c:pt>
                <c:pt idx="157">
                  <c:v>1.9090748453748199</c:v>
                </c:pt>
                <c:pt idx="158">
                  <c:v>1.9669624462369903</c:v>
                </c:pt>
                <c:pt idx="159">
                  <c:v>1.9376563967204978</c:v>
                </c:pt>
                <c:pt idx="160">
                  <c:v>2.1026671257435554</c:v>
                </c:pt>
                <c:pt idx="161">
                  <c:v>2.0131544628114204</c:v>
                </c:pt>
                <c:pt idx="162">
                  <c:v>1.9589434110262807</c:v>
                </c:pt>
                <c:pt idx="163">
                  <c:v>2.141428295502283</c:v>
                </c:pt>
                <c:pt idx="164">
                  <c:v>2.0332471899391109</c:v>
                </c:pt>
                <c:pt idx="165">
                  <c:v>2.0072216608938889</c:v>
                </c:pt>
                <c:pt idx="166">
                  <c:v>1.9845892335452433</c:v>
                </c:pt>
                <c:pt idx="167">
                  <c:v>2.0384770102737759</c:v>
                </c:pt>
                <c:pt idx="168">
                  <c:v>1.9190519816973843</c:v>
                </c:pt>
                <c:pt idx="169">
                  <c:v>2.1180406801939653</c:v>
                </c:pt>
                <c:pt idx="170">
                  <c:v>2.0912169871591875</c:v>
                </c:pt>
                <c:pt idx="171">
                  <c:v>2.2254276040935146</c:v>
                </c:pt>
                <c:pt idx="172">
                  <c:v>2.3098032494887026</c:v>
                </c:pt>
                <c:pt idx="173">
                  <c:v>2.1034746164108862</c:v>
                </c:pt>
                <c:pt idx="174">
                  <c:v>2.0352422109273398</c:v>
                </c:pt>
                <c:pt idx="175">
                  <c:v>2.0693980649988513</c:v>
                </c:pt>
                <c:pt idx="176">
                  <c:v>2.1735694431590642</c:v>
                </c:pt>
                <c:pt idx="177">
                  <c:v>2.1907938895818919</c:v>
                </c:pt>
                <c:pt idx="178">
                  <c:v>2.171150707818696</c:v>
                </c:pt>
                <c:pt idx="179">
                  <c:v>2.2543043410159065</c:v>
                </c:pt>
                <c:pt idx="180">
                  <c:v>2.089331807758017</c:v>
                </c:pt>
                <c:pt idx="181">
                  <c:v>2.2391920918406223</c:v>
                </c:pt>
                <c:pt idx="182">
                  <c:v>2.2710187091497023</c:v>
                </c:pt>
                <c:pt idx="183">
                  <c:v>2.3541683494219776</c:v>
                </c:pt>
                <c:pt idx="184">
                  <c:v>2.4353184195046942</c:v>
                </c:pt>
                <c:pt idx="185">
                  <c:v>2.3703889396094664</c:v>
                </c:pt>
                <c:pt idx="186">
                  <c:v>2.3739263653843135</c:v>
                </c:pt>
                <c:pt idx="187">
                  <c:v>2.3828278643509244</c:v>
                </c:pt>
                <c:pt idx="188">
                  <c:v>2.4988997627026457</c:v>
                </c:pt>
                <c:pt idx="189">
                  <c:v>2.4806669742882006</c:v>
                </c:pt>
                <c:pt idx="190">
                  <c:v>2.4419583818542621</c:v>
                </c:pt>
                <c:pt idx="191">
                  <c:v>2.4189791127405917</c:v>
                </c:pt>
                <c:pt idx="192">
                  <c:v>2.3090935475730499</c:v>
                </c:pt>
                <c:pt idx="193">
                  <c:v>2.3206896693344699</c:v>
                </c:pt>
                <c:pt idx="194">
                  <c:v>2.3273033620059262</c:v>
                </c:pt>
                <c:pt idx="195">
                  <c:v>2.3206408143627559</c:v>
                </c:pt>
                <c:pt idx="196">
                  <c:v>2.3658332304453653</c:v>
                </c:pt>
                <c:pt idx="197">
                  <c:v>2.3302499451950753</c:v>
                </c:pt>
                <c:pt idx="198">
                  <c:v>2.338837624339678</c:v>
                </c:pt>
                <c:pt idx="199">
                  <c:v>2.33493983004132</c:v>
                </c:pt>
                <c:pt idx="200">
                  <c:v>2.3551391034001665</c:v>
                </c:pt>
                <c:pt idx="201">
                  <c:v>2.3678202924239389</c:v>
                </c:pt>
                <c:pt idx="202">
                  <c:v>2.2896555883082956</c:v>
                </c:pt>
                <c:pt idx="203">
                  <c:v>2.3527279943287427</c:v>
                </c:pt>
                <c:pt idx="204">
                  <c:v>2.1690369863068333</c:v>
                </c:pt>
                <c:pt idx="205">
                  <c:v>2.3172571510217006</c:v>
                </c:pt>
                <c:pt idx="206">
                  <c:v>2.3985082904883708</c:v>
                </c:pt>
                <c:pt idx="207">
                  <c:v>2.4548488680015845</c:v>
                </c:pt>
                <c:pt idx="208">
                  <c:v>2.5002658937662927</c:v>
                </c:pt>
                <c:pt idx="209">
                  <c:v>2.4477856783738181</c:v>
                </c:pt>
                <c:pt idx="210">
                  <c:v>2.2533045887145411</c:v>
                </c:pt>
                <c:pt idx="211">
                  <c:v>2.5024431030361378</c:v>
                </c:pt>
                <c:pt idx="212">
                  <c:v>2.5128563571430624</c:v>
                </c:pt>
                <c:pt idx="213">
                  <c:v>2.4987878340734762</c:v>
                </c:pt>
                <c:pt idx="214">
                  <c:v>2.664516185396316</c:v>
                </c:pt>
                <c:pt idx="215">
                  <c:v>2.6368791655240704</c:v>
                </c:pt>
                <c:pt idx="216">
                  <c:v>2.3247436684866383</c:v>
                </c:pt>
                <c:pt idx="217">
                  <c:v>3.1588020697863999</c:v>
                </c:pt>
                <c:pt idx="218">
                  <c:v>3.1289123770272882</c:v>
                </c:pt>
                <c:pt idx="219">
                  <c:v>3.3555141683817507</c:v>
                </c:pt>
                <c:pt idx="220">
                  <c:v>3.5600252690255156</c:v>
                </c:pt>
                <c:pt idx="221">
                  <c:v>3.6037411678491247</c:v>
                </c:pt>
                <c:pt idx="222">
                  <c:v>3.5901875601860591</c:v>
                </c:pt>
                <c:pt idx="223">
                  <c:v>3.7625095280892702</c:v>
                </c:pt>
                <c:pt idx="224">
                  <c:v>3.841952760293688</c:v>
                </c:pt>
                <c:pt idx="225">
                  <c:v>3.8752132633376735</c:v>
                </c:pt>
                <c:pt idx="226">
                  <c:v>3.8445916353215224</c:v>
                </c:pt>
                <c:pt idx="227">
                  <c:v>3.8822625760731544</c:v>
                </c:pt>
                <c:pt idx="228">
                  <c:v>3.7047888300406346</c:v>
                </c:pt>
                <c:pt idx="229">
                  <c:v>4.0441291234479868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65-438E-8986-6BDE793ABC75}"/>
            </c:ext>
          </c:extLst>
        </c:ser>
        <c:ser>
          <c:idx val="1"/>
          <c:order val="1"/>
          <c:tx>
            <c:strRef>
              <c:f>'G2.4B'!$H$3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29"/>
              <c:layout/>
              <c:tx>
                <c:rich>
                  <a:bodyPr/>
                  <a:lstStyle/>
                  <a:p>
                    <a:r>
                      <a:rPr lang="en-US"/>
                      <a:t>6,0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E-4406-B9DC-5D5D36D0589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'G2.4B'!$H$4:$H$233</c:f>
              <c:numCache>
                <c:formatCode>0.0</c:formatCode>
                <c:ptCount val="230"/>
                <c:pt idx="0">
                  <c:v>17.6936734792496</c:v>
                </c:pt>
                <c:pt idx="1">
                  <c:v>19.702933140786364</c:v>
                </c:pt>
                <c:pt idx="2">
                  <c:v>20.414245044093683</c:v>
                </c:pt>
                <c:pt idx="3">
                  <c:v>21.20902850203063</c:v>
                </c:pt>
                <c:pt idx="4">
                  <c:v>22.164711798841687</c:v>
                </c:pt>
                <c:pt idx="5">
                  <c:v>22.532664834904036</c:v>
                </c:pt>
                <c:pt idx="6">
                  <c:v>20.553798454371712</c:v>
                </c:pt>
                <c:pt idx="7">
                  <c:v>21.579025607875927</c:v>
                </c:pt>
                <c:pt idx="8">
                  <c:v>21.054658536463155</c:v>
                </c:pt>
                <c:pt idx="9">
                  <c:v>20.420218312574811</c:v>
                </c:pt>
                <c:pt idx="10">
                  <c:v>21.393744960846906</c:v>
                </c:pt>
                <c:pt idx="11">
                  <c:v>22.660495379948284</c:v>
                </c:pt>
                <c:pt idx="12">
                  <c:v>18.297110582788548</c:v>
                </c:pt>
                <c:pt idx="13">
                  <c:v>19.426242143856058</c:v>
                </c:pt>
                <c:pt idx="14">
                  <c:v>18.835603840737512</c:v>
                </c:pt>
                <c:pt idx="15">
                  <c:v>17.315225872878475</c:v>
                </c:pt>
                <c:pt idx="16">
                  <c:v>17.139469160968861</c:v>
                </c:pt>
                <c:pt idx="17">
                  <c:v>16.610461371050501</c:v>
                </c:pt>
                <c:pt idx="18">
                  <c:v>16.192012152018414</c:v>
                </c:pt>
                <c:pt idx="19">
                  <c:v>16.749915934179008</c:v>
                </c:pt>
                <c:pt idx="20">
                  <c:v>15.961027998094725</c:v>
                </c:pt>
                <c:pt idx="21">
                  <c:v>15.254348196106658</c:v>
                </c:pt>
                <c:pt idx="22">
                  <c:v>13.681855770463509</c:v>
                </c:pt>
                <c:pt idx="23">
                  <c:v>13.615248184163647</c:v>
                </c:pt>
                <c:pt idx="24">
                  <c:v>12.073145428806791</c:v>
                </c:pt>
                <c:pt idx="25">
                  <c:v>12.090886905593543</c:v>
                </c:pt>
                <c:pt idx="26">
                  <c:v>12.324898464445994</c:v>
                </c:pt>
                <c:pt idx="27">
                  <c:v>11.637126844606323</c:v>
                </c:pt>
                <c:pt idx="28">
                  <c:v>12.1615221404282</c:v>
                </c:pt>
                <c:pt idx="29">
                  <c:v>11.021193613721282</c:v>
                </c:pt>
                <c:pt idx="30">
                  <c:v>10.312329945751433</c:v>
                </c:pt>
                <c:pt idx="31">
                  <c:v>10.495443658268471</c:v>
                </c:pt>
                <c:pt idx="32">
                  <c:v>9.8623531252592347</c:v>
                </c:pt>
                <c:pt idx="33">
                  <c:v>9.6463482047483193</c:v>
                </c:pt>
                <c:pt idx="34">
                  <c:v>9.5951914073056734</c:v>
                </c:pt>
                <c:pt idx="35">
                  <c:v>8.5521073065943014</c:v>
                </c:pt>
                <c:pt idx="36">
                  <c:v>7.8198984168333778</c:v>
                </c:pt>
                <c:pt idx="37">
                  <c:v>7.7438366758666044</c:v>
                </c:pt>
                <c:pt idx="38">
                  <c:v>8.0838979902445818</c:v>
                </c:pt>
                <c:pt idx="39">
                  <c:v>8.434725486783389</c:v>
                </c:pt>
                <c:pt idx="40">
                  <c:v>7.6640150143273651</c:v>
                </c:pt>
                <c:pt idx="41">
                  <c:v>7.4186201067198541</c:v>
                </c:pt>
                <c:pt idx="42">
                  <c:v>7.0230782094945443</c:v>
                </c:pt>
                <c:pt idx="43">
                  <c:v>6.5267132278341311</c:v>
                </c:pt>
                <c:pt idx="44">
                  <c:v>6.3218537518036921</c:v>
                </c:pt>
                <c:pt idx="45">
                  <c:v>6.5334695938526846</c:v>
                </c:pt>
                <c:pt idx="46">
                  <c:v>6.3922503740542416</c:v>
                </c:pt>
                <c:pt idx="47">
                  <c:v>6.5918051704599456</c:v>
                </c:pt>
                <c:pt idx="48">
                  <c:v>5.7775304237369269</c:v>
                </c:pt>
                <c:pt idx="49">
                  <c:v>5.9957358168979411</c:v>
                </c:pt>
                <c:pt idx="50">
                  <c:v>6.272133582180218</c:v>
                </c:pt>
                <c:pt idx="51">
                  <c:v>6.4568016450375145</c:v>
                </c:pt>
                <c:pt idx="52">
                  <c:v>6.2394745981990649</c:v>
                </c:pt>
                <c:pt idx="53">
                  <c:v>6.053658433141698</c:v>
                </c:pt>
                <c:pt idx="54">
                  <c:v>6.0041535654923521</c:v>
                </c:pt>
                <c:pt idx="55">
                  <c:v>5.4689075772859388</c:v>
                </c:pt>
                <c:pt idx="56">
                  <c:v>5.7228667857515498</c:v>
                </c:pt>
                <c:pt idx="57">
                  <c:v>5.6695532007862921</c:v>
                </c:pt>
                <c:pt idx="58">
                  <c:v>5.527681893473348</c:v>
                </c:pt>
                <c:pt idx="59">
                  <c:v>5.7232419315227983</c:v>
                </c:pt>
                <c:pt idx="60">
                  <c:v>4.9545009563379629</c:v>
                </c:pt>
                <c:pt idx="61">
                  <c:v>5.1802618062993462</c:v>
                </c:pt>
                <c:pt idx="62">
                  <c:v>5.4101595571543513</c:v>
                </c:pt>
                <c:pt idx="63">
                  <c:v>5.4378438621601148</c:v>
                </c:pt>
                <c:pt idx="64">
                  <c:v>5.5064995060117035</c:v>
                </c:pt>
                <c:pt idx="65">
                  <c:v>5.4573794560864348</c:v>
                </c:pt>
                <c:pt idx="66">
                  <c:v>5.2055328725275816</c:v>
                </c:pt>
                <c:pt idx="67">
                  <c:v>5.2592262434378796</c:v>
                </c:pt>
                <c:pt idx="68">
                  <c:v>5.0230517868190345</c:v>
                </c:pt>
                <c:pt idx="69">
                  <c:v>5.1048579130681215</c:v>
                </c:pt>
                <c:pt idx="70">
                  <c:v>5.0320977477369615</c:v>
                </c:pt>
                <c:pt idx="71">
                  <c:v>4.9133276453773407</c:v>
                </c:pt>
                <c:pt idx="72">
                  <c:v>4.1267935289500857</c:v>
                </c:pt>
                <c:pt idx="73">
                  <c:v>4.3827093233591379</c:v>
                </c:pt>
                <c:pt idx="74">
                  <c:v>4.739656438893725</c:v>
                </c:pt>
                <c:pt idx="75">
                  <c:v>4.899655210966599</c:v>
                </c:pt>
                <c:pt idx="76">
                  <c:v>4.7903491753950798</c:v>
                </c:pt>
                <c:pt idx="77">
                  <c:v>4.8251888754204098</c:v>
                </c:pt>
                <c:pt idx="78">
                  <c:v>4.3579460129437519</c:v>
                </c:pt>
                <c:pt idx="79">
                  <c:v>4.4574672699840088</c:v>
                </c:pt>
                <c:pt idx="80">
                  <c:v>4.3068260590602794</c:v>
                </c:pt>
                <c:pt idx="81">
                  <c:v>4.1929625051805441</c:v>
                </c:pt>
                <c:pt idx="82">
                  <c:v>4.5479795251180546</c:v>
                </c:pt>
                <c:pt idx="83">
                  <c:v>4.39091994869933</c:v>
                </c:pt>
                <c:pt idx="84">
                  <c:v>3.8552466149003322</c:v>
                </c:pt>
                <c:pt idx="85">
                  <c:v>4.2128455608015107</c:v>
                </c:pt>
                <c:pt idx="86">
                  <c:v>4.3580302760680256</c:v>
                </c:pt>
                <c:pt idx="87">
                  <c:v>4.4344202384255835</c:v>
                </c:pt>
                <c:pt idx="88">
                  <c:v>4.5846231067043508</c:v>
                </c:pt>
                <c:pt idx="89">
                  <c:v>6.2658599369397816</c:v>
                </c:pt>
                <c:pt idx="90">
                  <c:v>4.5580995542802585</c:v>
                </c:pt>
                <c:pt idx="91">
                  <c:v>4.6574623975647391</c:v>
                </c:pt>
                <c:pt idx="92">
                  <c:v>4.4814151356315133</c:v>
                </c:pt>
                <c:pt idx="93">
                  <c:v>4.4292463730358964</c:v>
                </c:pt>
                <c:pt idx="94">
                  <c:v>4.6654547510775997</c:v>
                </c:pt>
                <c:pt idx="95">
                  <c:v>4.7190414156695777</c:v>
                </c:pt>
                <c:pt idx="96">
                  <c:v>4.4479482838844966</c:v>
                </c:pt>
                <c:pt idx="97">
                  <c:v>4.7015576185426697</c:v>
                </c:pt>
                <c:pt idx="98">
                  <c:v>4.8770911654258713</c:v>
                </c:pt>
                <c:pt idx="99">
                  <c:v>4.8806329877894914</c:v>
                </c:pt>
                <c:pt idx="100">
                  <c:v>4.9746204310359419</c:v>
                </c:pt>
                <c:pt idx="101">
                  <c:v>4.9840906739097868</c:v>
                </c:pt>
                <c:pt idx="102">
                  <c:v>5.2316775310215551</c:v>
                </c:pt>
                <c:pt idx="103">
                  <c:v>5.3293399534302823</c:v>
                </c:pt>
                <c:pt idx="104">
                  <c:v>5.2893109770886992</c:v>
                </c:pt>
                <c:pt idx="105">
                  <c:v>5.5381700105278968</c:v>
                </c:pt>
                <c:pt idx="106">
                  <c:v>5.6508637696204858</c:v>
                </c:pt>
                <c:pt idx="107">
                  <c:v>5.8918888636965816</c:v>
                </c:pt>
                <c:pt idx="108">
                  <c:v>5.5786808718909962</c:v>
                </c:pt>
                <c:pt idx="109">
                  <c:v>5.9613389635910332</c:v>
                </c:pt>
                <c:pt idx="110">
                  <c:v>6.2919084764279996</c:v>
                </c:pt>
                <c:pt idx="111">
                  <c:v>6.9614000560410716</c:v>
                </c:pt>
                <c:pt idx="112">
                  <c:v>7.0251618854261633</c:v>
                </c:pt>
                <c:pt idx="113">
                  <c:v>7.0668207089017194</c:v>
                </c:pt>
                <c:pt idx="114">
                  <c:v>6.7493105807556333</c:v>
                </c:pt>
                <c:pt idx="115">
                  <c:v>6.7042510617569189</c:v>
                </c:pt>
                <c:pt idx="116">
                  <c:v>7.3172060516478732</c:v>
                </c:pt>
                <c:pt idx="117">
                  <c:v>7.2856359944480591</c:v>
                </c:pt>
                <c:pt idx="118">
                  <c:v>7.2395789390775578</c:v>
                </c:pt>
                <c:pt idx="119">
                  <c:v>7.8070115083868243</c:v>
                </c:pt>
                <c:pt idx="120">
                  <c:v>7.169231065699992</c:v>
                </c:pt>
                <c:pt idx="121">
                  <c:v>7.6824735957103227</c:v>
                </c:pt>
                <c:pt idx="122">
                  <c:v>8.0318182159468048</c:v>
                </c:pt>
                <c:pt idx="123">
                  <c:v>8.0381924860692173</c:v>
                </c:pt>
                <c:pt idx="124">
                  <c:v>8.2861278543302532</c:v>
                </c:pt>
                <c:pt idx="125">
                  <c:v>8.3217469140534792</c:v>
                </c:pt>
                <c:pt idx="126">
                  <c:v>8.058625842619346</c:v>
                </c:pt>
                <c:pt idx="127">
                  <c:v>7.6058745895380593</c:v>
                </c:pt>
                <c:pt idx="128">
                  <c:v>7.8131390909632215</c:v>
                </c:pt>
                <c:pt idx="129">
                  <c:v>7.4111467581268098</c:v>
                </c:pt>
                <c:pt idx="130">
                  <c:v>7.4343184728580507</c:v>
                </c:pt>
                <c:pt idx="131">
                  <c:v>7.3744328549668658</c:v>
                </c:pt>
                <c:pt idx="132">
                  <c:v>6.4745276665132758</c:v>
                </c:pt>
                <c:pt idx="133">
                  <c:v>6.732385856864834</c:v>
                </c:pt>
                <c:pt idx="134">
                  <c:v>6.9322394919581924</c:v>
                </c:pt>
                <c:pt idx="135">
                  <c:v>6.6802209408538955</c:v>
                </c:pt>
                <c:pt idx="136">
                  <c:v>6.5962675608982106</c:v>
                </c:pt>
                <c:pt idx="137">
                  <c:v>6.3835890356102603</c:v>
                </c:pt>
                <c:pt idx="138">
                  <c:v>6.0206690656881561</c:v>
                </c:pt>
                <c:pt idx="139">
                  <c:v>5.9338455925568523</c:v>
                </c:pt>
                <c:pt idx="140">
                  <c:v>5.6352566782218911</c:v>
                </c:pt>
                <c:pt idx="141">
                  <c:v>5.3224405905836365</c:v>
                </c:pt>
                <c:pt idx="142">
                  <c:v>5.303968246104712</c:v>
                </c:pt>
                <c:pt idx="143">
                  <c:v>5.0886344644260486</c:v>
                </c:pt>
                <c:pt idx="144">
                  <c:v>4.4349195236639787</c:v>
                </c:pt>
                <c:pt idx="145">
                  <c:v>4.5961804105373503</c:v>
                </c:pt>
                <c:pt idx="146">
                  <c:v>4.8205612879136988</c:v>
                </c:pt>
                <c:pt idx="147">
                  <c:v>4.6911087163782463</c:v>
                </c:pt>
                <c:pt idx="148">
                  <c:v>4.8248891782990659</c:v>
                </c:pt>
                <c:pt idx="149">
                  <c:v>4.5723069691867799</c:v>
                </c:pt>
                <c:pt idx="150">
                  <c:v>4.4437044874865528</c:v>
                </c:pt>
                <c:pt idx="151">
                  <c:v>4.531669769022419</c:v>
                </c:pt>
                <c:pt idx="152">
                  <c:v>4.4856538010531706</c:v>
                </c:pt>
                <c:pt idx="153">
                  <c:v>4.5075096029967217</c:v>
                </c:pt>
                <c:pt idx="154">
                  <c:v>4.6606156680729134</c:v>
                </c:pt>
                <c:pt idx="155">
                  <c:v>4.6478378782774632</c:v>
                </c:pt>
                <c:pt idx="156">
                  <c:v>4.2146674988505648</c:v>
                </c:pt>
                <c:pt idx="157">
                  <c:v>4.5152410959152975</c:v>
                </c:pt>
                <c:pt idx="158">
                  <c:v>4.7355878899181318</c:v>
                </c:pt>
                <c:pt idx="159">
                  <c:v>4.7583241627867956</c:v>
                </c:pt>
                <c:pt idx="160">
                  <c:v>4.9780259871707662</c:v>
                </c:pt>
                <c:pt idx="161">
                  <c:v>4.9675210739484585</c:v>
                </c:pt>
                <c:pt idx="162">
                  <c:v>4.9551312117438515</c:v>
                </c:pt>
                <c:pt idx="163">
                  <c:v>4.9027177257064665</c:v>
                </c:pt>
                <c:pt idx="164">
                  <c:v>4.9001985529097887</c:v>
                </c:pt>
                <c:pt idx="165">
                  <c:v>4.9834934671980005</c:v>
                </c:pt>
                <c:pt idx="166">
                  <c:v>4.9803363589752401</c:v>
                </c:pt>
                <c:pt idx="167">
                  <c:v>5.0413472906564243</c:v>
                </c:pt>
                <c:pt idx="168">
                  <c:v>4.8004437789620278</c:v>
                </c:pt>
                <c:pt idx="169">
                  <c:v>4.958506033470127</c:v>
                </c:pt>
                <c:pt idx="170">
                  <c:v>5.1691955461260006</c:v>
                </c:pt>
                <c:pt idx="171">
                  <c:v>5.4651012416552973</c:v>
                </c:pt>
                <c:pt idx="172">
                  <c:v>5.3391048341757923</c:v>
                </c:pt>
                <c:pt idx="173">
                  <c:v>5.2294902964146361</c:v>
                </c:pt>
                <c:pt idx="174">
                  <c:v>5.1731840458289327</c:v>
                </c:pt>
                <c:pt idx="175">
                  <c:v>4.8586865921034059</c:v>
                </c:pt>
                <c:pt idx="176">
                  <c:v>4.8714282295919213</c:v>
                </c:pt>
                <c:pt idx="177">
                  <c:v>4.8486497797590387</c:v>
                </c:pt>
                <c:pt idx="178">
                  <c:v>4.7932510583258914</c:v>
                </c:pt>
                <c:pt idx="179">
                  <c:v>4.8771094687598353</c:v>
                </c:pt>
                <c:pt idx="180">
                  <c:v>4.4407225452142551</c:v>
                </c:pt>
                <c:pt idx="181">
                  <c:v>4.5524083518857683</c:v>
                </c:pt>
                <c:pt idx="182">
                  <c:v>4.7098070480865006</c:v>
                </c:pt>
                <c:pt idx="183">
                  <c:v>4.8107002259831484</c:v>
                </c:pt>
                <c:pt idx="184">
                  <c:v>4.8242603815552245</c:v>
                </c:pt>
                <c:pt idx="185">
                  <c:v>4.830003535051711</c:v>
                </c:pt>
                <c:pt idx="186">
                  <c:v>4.864171424498136</c:v>
                </c:pt>
                <c:pt idx="187">
                  <c:v>4.5533651505600643</c:v>
                </c:pt>
                <c:pt idx="188">
                  <c:v>4.7010135297096056</c:v>
                </c:pt>
                <c:pt idx="189">
                  <c:v>4.6326936763012592</c:v>
                </c:pt>
                <c:pt idx="190">
                  <c:v>4.5646599072605598</c:v>
                </c:pt>
                <c:pt idx="191">
                  <c:v>4.704642875099343</c:v>
                </c:pt>
                <c:pt idx="192">
                  <c:v>4.3723249077162389</c:v>
                </c:pt>
                <c:pt idx="193">
                  <c:v>4.5526831072679137</c:v>
                </c:pt>
                <c:pt idx="194">
                  <c:v>4.6735703172364635</c:v>
                </c:pt>
                <c:pt idx="195">
                  <c:v>4.6577094168196691</c:v>
                </c:pt>
                <c:pt idx="196">
                  <c:v>4.8287696417518653</c:v>
                </c:pt>
                <c:pt idx="197">
                  <c:v>4.9084228794504154</c:v>
                </c:pt>
                <c:pt idx="198">
                  <c:v>4.8993654420337913</c:v>
                </c:pt>
                <c:pt idx="199">
                  <c:v>4.6674750627301123</c:v>
                </c:pt>
                <c:pt idx="200">
                  <c:v>4.6982919142604116</c:v>
                </c:pt>
                <c:pt idx="201">
                  <c:v>4.5965399069246669</c:v>
                </c:pt>
                <c:pt idx="202">
                  <c:v>4.6021518000829458</c:v>
                </c:pt>
                <c:pt idx="203">
                  <c:v>4.7169838819013954</c:v>
                </c:pt>
                <c:pt idx="204">
                  <c:v>4.457931359773478</c:v>
                </c:pt>
                <c:pt idx="205">
                  <c:v>4.6126899197135849</c:v>
                </c:pt>
                <c:pt idx="206">
                  <c:v>4.7768334204441238</c:v>
                </c:pt>
                <c:pt idx="207">
                  <c:v>4.8982470035692449</c:v>
                </c:pt>
                <c:pt idx="208">
                  <c:v>4.9252882880629718</c:v>
                </c:pt>
                <c:pt idx="209">
                  <c:v>5.0269388358399301</c:v>
                </c:pt>
                <c:pt idx="210">
                  <c:v>4.8928113560857884</c:v>
                </c:pt>
                <c:pt idx="211">
                  <c:v>5.0459713074375285</c:v>
                </c:pt>
                <c:pt idx="212">
                  <c:v>4.9779678789487587</c:v>
                </c:pt>
                <c:pt idx="213">
                  <c:v>4.9767017303382595</c:v>
                </c:pt>
                <c:pt idx="214">
                  <c:v>5.1376111812642717</c:v>
                </c:pt>
                <c:pt idx="215">
                  <c:v>5.2750173626456505</c:v>
                </c:pt>
                <c:pt idx="216">
                  <c:v>4.9889406862696273</c:v>
                </c:pt>
                <c:pt idx="217">
                  <c:v>5.1717196449627938</c:v>
                </c:pt>
                <c:pt idx="218">
                  <c:v>5.3950014254741241</c:v>
                </c:pt>
                <c:pt idx="219">
                  <c:v>5.4802977892011153</c:v>
                </c:pt>
                <c:pt idx="220">
                  <c:v>5.7891093629010584</c:v>
                </c:pt>
                <c:pt idx="221">
                  <c:v>5.8979663218772176</c:v>
                </c:pt>
                <c:pt idx="222">
                  <c:v>5.9271891064075666</c:v>
                </c:pt>
                <c:pt idx="223">
                  <c:v>5.9959858908283961</c:v>
                </c:pt>
                <c:pt idx="224">
                  <c:v>5.9182695121000641</c:v>
                </c:pt>
                <c:pt idx="225">
                  <c:v>5.9932339562099433</c:v>
                </c:pt>
                <c:pt idx="226">
                  <c:v>6.0458712564424424</c:v>
                </c:pt>
                <c:pt idx="227">
                  <c:v>6.1364592441095915</c:v>
                </c:pt>
                <c:pt idx="228">
                  <c:v>5.8129812300958514</c:v>
                </c:pt>
                <c:pt idx="229">
                  <c:v>5.9834084232625377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265-438E-8986-6BDE793ABC75}"/>
            </c:ext>
          </c:extLst>
        </c:ser>
        <c:ser>
          <c:idx val="2"/>
          <c:order val="2"/>
          <c:tx>
            <c:strRef>
              <c:f>'G2.4B'!$I$3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29"/>
              <c:layout/>
              <c:tx>
                <c:rich>
                  <a:bodyPr/>
                  <a:lstStyle/>
                  <a:p>
                    <a:r>
                      <a:rPr lang="en-US"/>
                      <a:t>7,1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E-4406-B9DC-5D5D36D0589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F7F7F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'G2.4B'!$I$4:$I$233</c:f>
              <c:numCache>
                <c:formatCode>0.0</c:formatCode>
                <c:ptCount val="230"/>
                <c:pt idx="0">
                  <c:v>10.100243837369698</c:v>
                </c:pt>
                <c:pt idx="1">
                  <c:v>11.516781835723942</c:v>
                </c:pt>
                <c:pt idx="2">
                  <c:v>12.688850651081628</c:v>
                </c:pt>
                <c:pt idx="3">
                  <c:v>13.714760166264821</c:v>
                </c:pt>
                <c:pt idx="4">
                  <c:v>15.113560433844281</c:v>
                </c:pt>
                <c:pt idx="5">
                  <c:v>12.697370317480031</c:v>
                </c:pt>
                <c:pt idx="6">
                  <c:v>12.720468567131514</c:v>
                </c:pt>
                <c:pt idx="7">
                  <c:v>13.398707522952279</c:v>
                </c:pt>
                <c:pt idx="8">
                  <c:v>14.702788088801839</c:v>
                </c:pt>
                <c:pt idx="9">
                  <c:v>14.672665362547317</c:v>
                </c:pt>
                <c:pt idx="10">
                  <c:v>16.719963620734305</c:v>
                </c:pt>
                <c:pt idx="11">
                  <c:v>19.755259018000768</c:v>
                </c:pt>
                <c:pt idx="12">
                  <c:v>18.480621372352132</c:v>
                </c:pt>
                <c:pt idx="13">
                  <c:v>20.034027364149999</c:v>
                </c:pt>
                <c:pt idx="14">
                  <c:v>16.013366117810531</c:v>
                </c:pt>
                <c:pt idx="15">
                  <c:v>14.823335189144622</c:v>
                </c:pt>
                <c:pt idx="16">
                  <c:v>12.70119022114342</c:v>
                </c:pt>
                <c:pt idx="17">
                  <c:v>12.159388395732702</c:v>
                </c:pt>
                <c:pt idx="18">
                  <c:v>11.747443552411539</c:v>
                </c:pt>
                <c:pt idx="19">
                  <c:v>13.655623452909879</c:v>
                </c:pt>
                <c:pt idx="20">
                  <c:v>15.754353309991737</c:v>
                </c:pt>
                <c:pt idx="21">
                  <c:v>17.935122605608264</c:v>
                </c:pt>
                <c:pt idx="22">
                  <c:v>17.791121248905274</c:v>
                </c:pt>
                <c:pt idx="23">
                  <c:v>18.99924202099713</c:v>
                </c:pt>
                <c:pt idx="24">
                  <c:v>19.272157008134375</c:v>
                </c:pt>
                <c:pt idx="25">
                  <c:v>19.874862440137747</c:v>
                </c:pt>
                <c:pt idx="26">
                  <c:v>20.288607348857088</c:v>
                </c:pt>
                <c:pt idx="27">
                  <c:v>20.68216689850868</c:v>
                </c:pt>
                <c:pt idx="28">
                  <c:v>19.70824629617049</c:v>
                </c:pt>
                <c:pt idx="29">
                  <c:v>19.333054376212143</c:v>
                </c:pt>
                <c:pt idx="30">
                  <c:v>19.47325595703705</c:v>
                </c:pt>
                <c:pt idx="31">
                  <c:v>19.582519178471678</c:v>
                </c:pt>
                <c:pt idx="32">
                  <c:v>20.197939995606092</c:v>
                </c:pt>
                <c:pt idx="33">
                  <c:v>20.93081086810032</c:v>
                </c:pt>
                <c:pt idx="34">
                  <c:v>20.791192684892319</c:v>
                </c:pt>
                <c:pt idx="35">
                  <c:v>21.234025855110925</c:v>
                </c:pt>
                <c:pt idx="36">
                  <c:v>20.855085232363837</c:v>
                </c:pt>
                <c:pt idx="37">
                  <c:v>33.713895504614655</c:v>
                </c:pt>
                <c:pt idx="38">
                  <c:v>33.996917920781293</c:v>
                </c:pt>
                <c:pt idx="39">
                  <c:v>35.025496119331336</c:v>
                </c:pt>
                <c:pt idx="40">
                  <c:v>34.894624085007308</c:v>
                </c:pt>
                <c:pt idx="41">
                  <c:v>35.78674074380222</c:v>
                </c:pt>
                <c:pt idx="42">
                  <c:v>35.187712204268152</c:v>
                </c:pt>
                <c:pt idx="43">
                  <c:v>34.962637199109345</c:v>
                </c:pt>
                <c:pt idx="44">
                  <c:v>35.307209207872582</c:v>
                </c:pt>
                <c:pt idx="45">
                  <c:v>35.132958386931975</c:v>
                </c:pt>
                <c:pt idx="46">
                  <c:v>35.066128547091814</c:v>
                </c:pt>
                <c:pt idx="47">
                  <c:v>36.467058775073603</c:v>
                </c:pt>
                <c:pt idx="48">
                  <c:v>34.690695641475578</c:v>
                </c:pt>
                <c:pt idx="49">
                  <c:v>34.702310759655568</c:v>
                </c:pt>
                <c:pt idx="50">
                  <c:v>34.397044446899052</c:v>
                </c:pt>
                <c:pt idx="51">
                  <c:v>35.611024261847128</c:v>
                </c:pt>
                <c:pt idx="52">
                  <c:v>35.466116761894611</c:v>
                </c:pt>
                <c:pt idx="53">
                  <c:v>35.812510508721196</c:v>
                </c:pt>
                <c:pt idx="54">
                  <c:v>36.485448605203032</c:v>
                </c:pt>
                <c:pt idx="55">
                  <c:v>35.765993581683581</c:v>
                </c:pt>
                <c:pt idx="56">
                  <c:v>36.01290162980186</c:v>
                </c:pt>
                <c:pt idx="57">
                  <c:v>35.87593497428049</c:v>
                </c:pt>
                <c:pt idx="58">
                  <c:v>35.731690078149228</c:v>
                </c:pt>
                <c:pt idx="59">
                  <c:v>36.737386653708498</c:v>
                </c:pt>
                <c:pt idx="60">
                  <c:v>33.822525967515986</c:v>
                </c:pt>
                <c:pt idx="61">
                  <c:v>34.193500738334833</c:v>
                </c:pt>
                <c:pt idx="62">
                  <c:v>33.796655234565691</c:v>
                </c:pt>
                <c:pt idx="63">
                  <c:v>33.807769809933049</c:v>
                </c:pt>
                <c:pt idx="64">
                  <c:v>33.741688432330236</c:v>
                </c:pt>
                <c:pt idx="65">
                  <c:v>32.930015986281404</c:v>
                </c:pt>
                <c:pt idx="66">
                  <c:v>29.031714860518498</c:v>
                </c:pt>
                <c:pt idx="67">
                  <c:v>28.573958548989314</c:v>
                </c:pt>
                <c:pt idx="68">
                  <c:v>26.850416523219486</c:v>
                </c:pt>
                <c:pt idx="69">
                  <c:v>24.522723158416454</c:v>
                </c:pt>
                <c:pt idx="70">
                  <c:v>24.08938966452628</c:v>
                </c:pt>
                <c:pt idx="71">
                  <c:v>24.408496676073288</c:v>
                </c:pt>
                <c:pt idx="72">
                  <c:v>20.580236350830543</c:v>
                </c:pt>
                <c:pt idx="73">
                  <c:v>21.347538042123947</c:v>
                </c:pt>
                <c:pt idx="74">
                  <c:v>20.712005135867219</c:v>
                </c:pt>
                <c:pt idx="75">
                  <c:v>21.339556860058696</c:v>
                </c:pt>
                <c:pt idx="76">
                  <c:v>20.314865274976246</c:v>
                </c:pt>
                <c:pt idx="77">
                  <c:v>20.720764321753911</c:v>
                </c:pt>
                <c:pt idx="78">
                  <c:v>19.563880962870819</c:v>
                </c:pt>
                <c:pt idx="79">
                  <c:v>19.047138197929961</c:v>
                </c:pt>
                <c:pt idx="80">
                  <c:v>19.018185240933786</c:v>
                </c:pt>
                <c:pt idx="81">
                  <c:v>19.432032864057032</c:v>
                </c:pt>
                <c:pt idx="82">
                  <c:v>19.624595596378676</c:v>
                </c:pt>
                <c:pt idx="83">
                  <c:v>19.403101141020642</c:v>
                </c:pt>
                <c:pt idx="84">
                  <c:v>15.415221184435849</c:v>
                </c:pt>
                <c:pt idx="85">
                  <c:v>16.284758805144904</c:v>
                </c:pt>
                <c:pt idx="86">
                  <c:v>15.620276932457319</c:v>
                </c:pt>
                <c:pt idx="87">
                  <c:v>15.762680538997964</c:v>
                </c:pt>
                <c:pt idx="88">
                  <c:v>14.987747528265059</c:v>
                </c:pt>
                <c:pt idx="89">
                  <c:v>14.614373888688272</c:v>
                </c:pt>
                <c:pt idx="90">
                  <c:v>13.33273550051555</c:v>
                </c:pt>
                <c:pt idx="91">
                  <c:v>12.831182114170266</c:v>
                </c:pt>
                <c:pt idx="92">
                  <c:v>12.488445195927648</c:v>
                </c:pt>
                <c:pt idx="93">
                  <c:v>11.531503172195489</c:v>
                </c:pt>
                <c:pt idx="94">
                  <c:v>12.401247529431197</c:v>
                </c:pt>
                <c:pt idx="95">
                  <c:v>12.312241969338105</c:v>
                </c:pt>
                <c:pt idx="96">
                  <c:v>11.104502729632369</c:v>
                </c:pt>
                <c:pt idx="97">
                  <c:v>11.457170400079468</c:v>
                </c:pt>
                <c:pt idx="98">
                  <c:v>10.609086656819326</c:v>
                </c:pt>
                <c:pt idx="99">
                  <c:v>10.759039832758889</c:v>
                </c:pt>
                <c:pt idx="100">
                  <c:v>10.926659517715636</c:v>
                </c:pt>
                <c:pt idx="101">
                  <c:v>10.741106728286484</c:v>
                </c:pt>
                <c:pt idx="102">
                  <c:v>10.314466755930159</c:v>
                </c:pt>
                <c:pt idx="103">
                  <c:v>10.830139720033507</c:v>
                </c:pt>
                <c:pt idx="104">
                  <c:v>10.464940201972912</c:v>
                </c:pt>
                <c:pt idx="105">
                  <c:v>10.079438997672849</c:v>
                </c:pt>
                <c:pt idx="106">
                  <c:v>9.9864452192546924</c:v>
                </c:pt>
                <c:pt idx="107">
                  <c:v>10.246668734777089</c:v>
                </c:pt>
                <c:pt idx="108">
                  <c:v>9.1671051881127639</c:v>
                </c:pt>
                <c:pt idx="109">
                  <c:v>9.7632928388960689</c:v>
                </c:pt>
                <c:pt idx="110">
                  <c:v>9.5054863380979349</c:v>
                </c:pt>
                <c:pt idx="111">
                  <c:v>9.9406226875443728</c:v>
                </c:pt>
                <c:pt idx="112">
                  <c:v>9.5944101462783813</c:v>
                </c:pt>
                <c:pt idx="113">
                  <c:v>10.072858302661773</c:v>
                </c:pt>
                <c:pt idx="114">
                  <c:v>9.3825444498789459</c:v>
                </c:pt>
                <c:pt idx="115">
                  <c:v>8.9999915646421602</c:v>
                </c:pt>
                <c:pt idx="116">
                  <c:v>9.6146777533716392</c:v>
                </c:pt>
                <c:pt idx="117">
                  <c:v>9.4725627492617921</c:v>
                </c:pt>
                <c:pt idx="118">
                  <c:v>9.4730645035420284</c:v>
                </c:pt>
                <c:pt idx="119">
                  <c:v>10.048554319388325</c:v>
                </c:pt>
                <c:pt idx="120">
                  <c:v>9.4537726015224646</c:v>
                </c:pt>
                <c:pt idx="121">
                  <c:v>10.140660429715856</c:v>
                </c:pt>
                <c:pt idx="122">
                  <c:v>9.9854604871140555</c:v>
                </c:pt>
                <c:pt idx="123">
                  <c:v>10.100481486384638</c:v>
                </c:pt>
                <c:pt idx="124">
                  <c:v>10.520582863228325</c:v>
                </c:pt>
                <c:pt idx="125">
                  <c:v>11.157472163982677</c:v>
                </c:pt>
                <c:pt idx="126">
                  <c:v>10.368806842183192</c:v>
                </c:pt>
                <c:pt idx="127">
                  <c:v>9.8080963545822328</c:v>
                </c:pt>
                <c:pt idx="128">
                  <c:v>10.252619430584112</c:v>
                </c:pt>
                <c:pt idx="129">
                  <c:v>9.6179828427368577</c:v>
                </c:pt>
                <c:pt idx="130">
                  <c:v>9.6033395482236514</c:v>
                </c:pt>
                <c:pt idx="131">
                  <c:v>9.4820732042237381</c:v>
                </c:pt>
                <c:pt idx="132">
                  <c:v>8.0837335984796059</c:v>
                </c:pt>
                <c:pt idx="133">
                  <c:v>8.3444237679827022</c:v>
                </c:pt>
                <c:pt idx="134">
                  <c:v>8.4665534587369038</c:v>
                </c:pt>
                <c:pt idx="135">
                  <c:v>7.6917097663960181</c:v>
                </c:pt>
                <c:pt idx="136">
                  <c:v>8.692665894514878</c:v>
                </c:pt>
                <c:pt idx="137">
                  <c:v>8.4620724942651204</c:v>
                </c:pt>
                <c:pt idx="138">
                  <c:v>7.7740287186637209</c:v>
                </c:pt>
                <c:pt idx="139">
                  <c:v>8.073098733776078</c:v>
                </c:pt>
                <c:pt idx="140">
                  <c:v>7.712271321671488</c:v>
                </c:pt>
                <c:pt idx="141">
                  <c:v>7.479279335846253</c:v>
                </c:pt>
                <c:pt idx="142">
                  <c:v>7.6035250183114256</c:v>
                </c:pt>
                <c:pt idx="143">
                  <c:v>7.2543122838815419</c:v>
                </c:pt>
                <c:pt idx="144">
                  <c:v>7.3056574707642676</c:v>
                </c:pt>
                <c:pt idx="145">
                  <c:v>7.4191479604261419</c:v>
                </c:pt>
                <c:pt idx="146">
                  <c:v>7.4010890433329575</c:v>
                </c:pt>
                <c:pt idx="147">
                  <c:v>6.9213098876147896</c:v>
                </c:pt>
                <c:pt idx="148">
                  <c:v>7.0967986691271472</c:v>
                </c:pt>
                <c:pt idx="149">
                  <c:v>6.5466559088814984</c:v>
                </c:pt>
                <c:pt idx="150">
                  <c:v>6.5829596548416953</c:v>
                </c:pt>
                <c:pt idx="151">
                  <c:v>6.3496544243147151</c:v>
                </c:pt>
                <c:pt idx="152">
                  <c:v>6.0274539849989432</c:v>
                </c:pt>
                <c:pt idx="153">
                  <c:v>6.0327746770745545</c:v>
                </c:pt>
                <c:pt idx="154">
                  <c:v>6.1007805534226645</c:v>
                </c:pt>
                <c:pt idx="155">
                  <c:v>6.0466132387909965</c:v>
                </c:pt>
                <c:pt idx="156">
                  <c:v>5.4484550456743612</c:v>
                </c:pt>
                <c:pt idx="157">
                  <c:v>5.6961181191338648</c:v>
                </c:pt>
                <c:pt idx="158">
                  <c:v>5.6622558527946234</c:v>
                </c:pt>
                <c:pt idx="159">
                  <c:v>5.6898503264860274</c:v>
                </c:pt>
                <c:pt idx="160">
                  <c:v>5.8647859862347982</c:v>
                </c:pt>
                <c:pt idx="161">
                  <c:v>5.7502896755336561</c:v>
                </c:pt>
                <c:pt idx="162">
                  <c:v>5.5814470451923857</c:v>
                </c:pt>
                <c:pt idx="163">
                  <c:v>5.4871366682239957</c:v>
                </c:pt>
                <c:pt idx="164">
                  <c:v>5.6427531944043627</c:v>
                </c:pt>
                <c:pt idx="165">
                  <c:v>5.674578270900164</c:v>
                </c:pt>
                <c:pt idx="166">
                  <c:v>5.389637533082702</c:v>
                </c:pt>
                <c:pt idx="167">
                  <c:v>5.7213009674812554</c:v>
                </c:pt>
                <c:pt idx="168">
                  <c:v>5.291604793091035</c:v>
                </c:pt>
                <c:pt idx="169">
                  <c:v>5.4237336928556816</c:v>
                </c:pt>
                <c:pt idx="170">
                  <c:v>5.3752000924521228</c:v>
                </c:pt>
                <c:pt idx="171">
                  <c:v>5.7916599763283392</c:v>
                </c:pt>
                <c:pt idx="172">
                  <c:v>5.5479604834755269</c:v>
                </c:pt>
                <c:pt idx="173">
                  <c:v>5.5648925016594832</c:v>
                </c:pt>
                <c:pt idx="174">
                  <c:v>5.4197946821567893</c:v>
                </c:pt>
                <c:pt idx="175">
                  <c:v>4.9572729484685922</c:v>
                </c:pt>
                <c:pt idx="176">
                  <c:v>5.1820986645975777</c:v>
                </c:pt>
                <c:pt idx="177">
                  <c:v>5.0473986423150468</c:v>
                </c:pt>
                <c:pt idx="178">
                  <c:v>4.8460465948952001</c:v>
                </c:pt>
                <c:pt idx="179">
                  <c:v>4.9555230823622809</c:v>
                </c:pt>
                <c:pt idx="180">
                  <c:v>4.3067580481723446</c:v>
                </c:pt>
                <c:pt idx="181">
                  <c:v>4.5674028138275133</c:v>
                </c:pt>
                <c:pt idx="182">
                  <c:v>4.4222225581761192</c:v>
                </c:pt>
                <c:pt idx="183">
                  <c:v>4.487302835416445</c:v>
                </c:pt>
                <c:pt idx="184">
                  <c:v>4.5510050606057648</c:v>
                </c:pt>
                <c:pt idx="185">
                  <c:v>4.6224863151796729</c:v>
                </c:pt>
                <c:pt idx="186">
                  <c:v>4.7516212016058219</c:v>
                </c:pt>
                <c:pt idx="187">
                  <c:v>4.3354399705333178</c:v>
                </c:pt>
                <c:pt idx="188">
                  <c:v>4.6874130040502804</c:v>
                </c:pt>
                <c:pt idx="189">
                  <c:v>4.6321689527472332</c:v>
                </c:pt>
                <c:pt idx="190">
                  <c:v>4.6625507777734096</c:v>
                </c:pt>
                <c:pt idx="191">
                  <c:v>4.8316494107128065</c:v>
                </c:pt>
                <c:pt idx="192">
                  <c:v>4.290861089946862</c:v>
                </c:pt>
                <c:pt idx="193">
                  <c:v>5.5732045430584281</c:v>
                </c:pt>
                <c:pt idx="194">
                  <c:v>5.4072561086689106</c:v>
                </c:pt>
                <c:pt idx="195">
                  <c:v>4.9476462373303329</c:v>
                </c:pt>
                <c:pt idx="196">
                  <c:v>5.3474322147712332</c:v>
                </c:pt>
                <c:pt idx="197">
                  <c:v>5.48834440228124</c:v>
                </c:pt>
                <c:pt idx="198">
                  <c:v>5.5583589482308513</c:v>
                </c:pt>
                <c:pt idx="199">
                  <c:v>5.2470468837734181</c:v>
                </c:pt>
                <c:pt idx="200">
                  <c:v>5.4144694856704483</c:v>
                </c:pt>
                <c:pt idx="201">
                  <c:v>5.2165079708920503</c:v>
                </c:pt>
                <c:pt idx="202">
                  <c:v>5.2959627084248257</c:v>
                </c:pt>
                <c:pt idx="203">
                  <c:v>5.4751308814716513</c:v>
                </c:pt>
                <c:pt idx="204">
                  <c:v>4.9270261576607917</c:v>
                </c:pt>
                <c:pt idx="205">
                  <c:v>5.2737037502786004</c:v>
                </c:pt>
                <c:pt idx="206">
                  <c:v>5.3033482335438453</c:v>
                </c:pt>
                <c:pt idx="207">
                  <c:v>5.4591382839585396</c:v>
                </c:pt>
                <c:pt idx="208">
                  <c:v>5.6150464803881146</c:v>
                </c:pt>
                <c:pt idx="209">
                  <c:v>5.6791064816373709</c:v>
                </c:pt>
                <c:pt idx="210">
                  <c:v>5.6135894171932907</c:v>
                </c:pt>
                <c:pt idx="211">
                  <c:v>5.8069512015499143</c:v>
                </c:pt>
                <c:pt idx="212">
                  <c:v>5.6780902110631963</c:v>
                </c:pt>
                <c:pt idx="213">
                  <c:v>5.7994063336989727</c:v>
                </c:pt>
                <c:pt idx="214">
                  <c:v>5.9371973002897329</c:v>
                </c:pt>
                <c:pt idx="215">
                  <c:v>6.0695080505281371</c:v>
                </c:pt>
                <c:pt idx="216">
                  <c:v>5.4801390327427306</c:v>
                </c:pt>
                <c:pt idx="217">
                  <c:v>6.0973912299129038</c:v>
                </c:pt>
                <c:pt idx="218">
                  <c:v>5.9982320857878308</c:v>
                </c:pt>
                <c:pt idx="219">
                  <c:v>6.2440866541843079</c:v>
                </c:pt>
                <c:pt idx="220">
                  <c:v>6.7466511845886163</c:v>
                </c:pt>
                <c:pt idx="221">
                  <c:v>6.7268265253993453</c:v>
                </c:pt>
                <c:pt idx="222">
                  <c:v>6.9662425604048961</c:v>
                </c:pt>
                <c:pt idx="223">
                  <c:v>7.1300755666980109</c:v>
                </c:pt>
                <c:pt idx="224">
                  <c:v>7.1490323302157082</c:v>
                </c:pt>
                <c:pt idx="225">
                  <c:v>7.1799178246406665</c:v>
                </c:pt>
                <c:pt idx="226">
                  <c:v>7.1384160924976907</c:v>
                </c:pt>
                <c:pt idx="227">
                  <c:v>7.5114555171761852</c:v>
                </c:pt>
                <c:pt idx="228">
                  <c:v>6.8448977119792271</c:v>
                </c:pt>
                <c:pt idx="229">
                  <c:v>7.1065278297095134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265-438E-8986-6BDE793ABC75}"/>
            </c:ext>
          </c:extLst>
        </c:ser>
        <c:ser>
          <c:idx val="3"/>
          <c:order val="3"/>
          <c:tx>
            <c:strRef>
              <c:f>'G2.4B'!$J$3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29"/>
              <c:layout/>
              <c:tx>
                <c:rich>
                  <a:bodyPr/>
                  <a:lstStyle/>
                  <a:p>
                    <a:r>
                      <a:rPr lang="en-US"/>
                      <a:t>8,0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08E-4406-B9DC-5D5D36D0589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46C0A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'G2.4B'!$J$4:$J$233</c:f>
              <c:numCache>
                <c:formatCode>0.0</c:formatCode>
                <c:ptCount val="230"/>
                <c:pt idx="37">
                  <c:v>7.3875089915061602</c:v>
                </c:pt>
                <c:pt idx="38">
                  <c:v>7.9263319338872256</c:v>
                </c:pt>
                <c:pt idx="39">
                  <c:v>7.589512482576998</c:v>
                </c:pt>
                <c:pt idx="40">
                  <c:v>7.0777360057888439</c:v>
                </c:pt>
                <c:pt idx="41">
                  <c:v>7.1620073333598819</c:v>
                </c:pt>
                <c:pt idx="42">
                  <c:v>7.7377203560113612</c:v>
                </c:pt>
                <c:pt idx="43">
                  <c:v>7.7887318582914471</c:v>
                </c:pt>
                <c:pt idx="44">
                  <c:v>8.0639568595723503</c:v>
                </c:pt>
                <c:pt idx="45">
                  <c:v>8.0867140567082902</c:v>
                </c:pt>
                <c:pt idx="46">
                  <c:v>8.079638406653002</c:v>
                </c:pt>
                <c:pt idx="47">
                  <c:v>8.1316568592436891</c:v>
                </c:pt>
                <c:pt idx="48">
                  <c:v>6.5593014061156012</c:v>
                </c:pt>
                <c:pt idx="49">
                  <c:v>6.5128025482046175</c:v>
                </c:pt>
                <c:pt idx="50">
                  <c:v>6.5751381747505651</c:v>
                </c:pt>
                <c:pt idx="51">
                  <c:v>6.4452945124967984</c:v>
                </c:pt>
                <c:pt idx="52">
                  <c:v>6.8260177261803445</c:v>
                </c:pt>
                <c:pt idx="53">
                  <c:v>6.432275197523909</c:v>
                </c:pt>
                <c:pt idx="54">
                  <c:v>6.4464112292135534</c:v>
                </c:pt>
                <c:pt idx="55">
                  <c:v>5.9687046878937178</c:v>
                </c:pt>
                <c:pt idx="56">
                  <c:v>5.8211023489711211</c:v>
                </c:pt>
                <c:pt idx="57">
                  <c:v>5.2902946542245042</c:v>
                </c:pt>
                <c:pt idx="58">
                  <c:v>5.2730410166034964</c:v>
                </c:pt>
                <c:pt idx="59">
                  <c:v>5.506016584535196</c:v>
                </c:pt>
                <c:pt idx="60">
                  <c:v>5.3418417485275844</c:v>
                </c:pt>
                <c:pt idx="61">
                  <c:v>5.602453957577036</c:v>
                </c:pt>
                <c:pt idx="62">
                  <c:v>5.5760656434234948</c:v>
                </c:pt>
                <c:pt idx="63">
                  <c:v>5.9484023060365043</c:v>
                </c:pt>
                <c:pt idx="64">
                  <c:v>6.504452747953807</c:v>
                </c:pt>
                <c:pt idx="65">
                  <c:v>6.6044704712029638</c:v>
                </c:pt>
                <c:pt idx="66">
                  <c:v>6.5305325089780029</c:v>
                </c:pt>
                <c:pt idx="67">
                  <c:v>6.635238057976939</c:v>
                </c:pt>
                <c:pt idx="68">
                  <c:v>6.0842722216911875</c:v>
                </c:pt>
                <c:pt idx="69">
                  <c:v>5.8801891951222141</c:v>
                </c:pt>
                <c:pt idx="70">
                  <c:v>5.8750673124461255</c:v>
                </c:pt>
                <c:pt idx="71">
                  <c:v>5.9037388868164262</c:v>
                </c:pt>
                <c:pt idx="72">
                  <c:v>5.4033892295929515</c:v>
                </c:pt>
                <c:pt idx="73">
                  <c:v>5.8567450385602342</c:v>
                </c:pt>
                <c:pt idx="74">
                  <c:v>5.8045497820624572</c:v>
                </c:pt>
                <c:pt idx="75">
                  <c:v>5.5648010796689782</c:v>
                </c:pt>
                <c:pt idx="76">
                  <c:v>5.3962556518691116</c:v>
                </c:pt>
                <c:pt idx="77">
                  <c:v>5.346255625589305</c:v>
                </c:pt>
                <c:pt idx="78">
                  <c:v>4.9904964885761114</c:v>
                </c:pt>
                <c:pt idx="79">
                  <c:v>5.0889173929470193</c:v>
                </c:pt>
                <c:pt idx="80">
                  <c:v>4.987350341189666</c:v>
                </c:pt>
                <c:pt idx="81">
                  <c:v>4.9591006380381701</c:v>
                </c:pt>
                <c:pt idx="82">
                  <c:v>4.7870295675627741</c:v>
                </c:pt>
                <c:pt idx="83">
                  <c:v>4.685767440586794</c:v>
                </c:pt>
                <c:pt idx="84">
                  <c:v>4.567581897260478</c:v>
                </c:pt>
                <c:pt idx="85">
                  <c:v>4.881555856393561</c:v>
                </c:pt>
                <c:pt idx="86">
                  <c:v>5.2858076979375248</c:v>
                </c:pt>
                <c:pt idx="87">
                  <c:v>5.4044471849583342</c:v>
                </c:pt>
                <c:pt idx="88">
                  <c:v>5.486579649555356</c:v>
                </c:pt>
                <c:pt idx="89">
                  <c:v>5.5852630038325426</c:v>
                </c:pt>
                <c:pt idx="90">
                  <c:v>5.450730469219601</c:v>
                </c:pt>
                <c:pt idx="91">
                  <c:v>5.4931436689457627</c:v>
                </c:pt>
                <c:pt idx="92">
                  <c:v>5.303099875742916</c:v>
                </c:pt>
                <c:pt idx="93">
                  <c:v>5.3816653153061145</c:v>
                </c:pt>
                <c:pt idx="94">
                  <c:v>5.2426382249627022</c:v>
                </c:pt>
                <c:pt idx="95">
                  <c:v>5.2588062976469283</c:v>
                </c:pt>
                <c:pt idx="96">
                  <c:v>5.3540533200168046</c:v>
                </c:pt>
                <c:pt idx="97">
                  <c:v>5.5014800167609152</c:v>
                </c:pt>
                <c:pt idx="98">
                  <c:v>5.755265562516743</c:v>
                </c:pt>
                <c:pt idx="99">
                  <c:v>5.8771298285534099</c:v>
                </c:pt>
                <c:pt idx="100">
                  <c:v>5.9435464095535133</c:v>
                </c:pt>
                <c:pt idx="101">
                  <c:v>5.9313053719440356</c:v>
                </c:pt>
                <c:pt idx="102">
                  <c:v>6.2164817049928747</c:v>
                </c:pt>
                <c:pt idx="103">
                  <c:v>6.4641977325514324</c:v>
                </c:pt>
                <c:pt idx="104">
                  <c:v>6.4133856010799093</c:v>
                </c:pt>
                <c:pt idx="105">
                  <c:v>6.9433517922005938</c:v>
                </c:pt>
                <c:pt idx="106">
                  <c:v>6.942408844351168</c:v>
                </c:pt>
                <c:pt idx="107">
                  <c:v>7.1362957295027174</c:v>
                </c:pt>
                <c:pt idx="108">
                  <c:v>6.9480324235009201</c:v>
                </c:pt>
                <c:pt idx="109">
                  <c:v>7.3572125638515322</c:v>
                </c:pt>
                <c:pt idx="110">
                  <c:v>7.4012790475098962</c:v>
                </c:pt>
                <c:pt idx="111">
                  <c:v>8.021553478965691</c:v>
                </c:pt>
                <c:pt idx="112">
                  <c:v>7.9098827939738783</c:v>
                </c:pt>
                <c:pt idx="113">
                  <c:v>7.6778737751057724</c:v>
                </c:pt>
                <c:pt idx="114">
                  <c:v>7.4315105200797866</c:v>
                </c:pt>
                <c:pt idx="115">
                  <c:v>7.1431778639574173</c:v>
                </c:pt>
                <c:pt idx="116">
                  <c:v>7.4585774662928159</c:v>
                </c:pt>
                <c:pt idx="117">
                  <c:v>7.5255342894851447</c:v>
                </c:pt>
                <c:pt idx="118">
                  <c:v>6.9277021459973067</c:v>
                </c:pt>
                <c:pt idx="119">
                  <c:v>7.1663396634911196</c:v>
                </c:pt>
                <c:pt idx="120">
                  <c:v>6.1486268729238862</c:v>
                </c:pt>
                <c:pt idx="121">
                  <c:v>6.5722506930707381</c:v>
                </c:pt>
                <c:pt idx="122">
                  <c:v>6.7204969563944088</c:v>
                </c:pt>
                <c:pt idx="123">
                  <c:v>6.5751928033249163</c:v>
                </c:pt>
                <c:pt idx="124">
                  <c:v>6.625342527435814</c:v>
                </c:pt>
                <c:pt idx="125">
                  <c:v>6.7489347248032505</c:v>
                </c:pt>
                <c:pt idx="126">
                  <c:v>6.5894122136721993</c:v>
                </c:pt>
                <c:pt idx="127">
                  <c:v>6.186476162874925</c:v>
                </c:pt>
                <c:pt idx="128">
                  <c:v>6.4133874415581555</c:v>
                </c:pt>
                <c:pt idx="129">
                  <c:v>6.2290637223654892</c:v>
                </c:pt>
                <c:pt idx="130">
                  <c:v>6.2902470469771181</c:v>
                </c:pt>
                <c:pt idx="131">
                  <c:v>6.1826304054661314</c:v>
                </c:pt>
                <c:pt idx="132">
                  <c:v>5.7445698759610311</c:v>
                </c:pt>
                <c:pt idx="133">
                  <c:v>5.9401833451112251</c:v>
                </c:pt>
                <c:pt idx="134">
                  <c:v>6.2283289670230264</c:v>
                </c:pt>
                <c:pt idx="135">
                  <c:v>6.0901542048989663</c:v>
                </c:pt>
                <c:pt idx="136">
                  <c:v>6.1161240223595499</c:v>
                </c:pt>
                <c:pt idx="137">
                  <c:v>5.9154878466851919</c:v>
                </c:pt>
                <c:pt idx="138">
                  <c:v>5.8055792778216295</c:v>
                </c:pt>
                <c:pt idx="139">
                  <c:v>5.7572570147361226</c:v>
                </c:pt>
                <c:pt idx="140">
                  <c:v>5.5809728004009198</c:v>
                </c:pt>
                <c:pt idx="141">
                  <c:v>5.3544191562404855</c:v>
                </c:pt>
                <c:pt idx="142">
                  <c:v>5.1259485649377599</c:v>
                </c:pt>
                <c:pt idx="143">
                  <c:v>4.9432426247723926</c:v>
                </c:pt>
                <c:pt idx="144">
                  <c:v>4.3814347262107205</c:v>
                </c:pt>
                <c:pt idx="145">
                  <c:v>4.6258488815232841</c:v>
                </c:pt>
                <c:pt idx="146">
                  <c:v>4.7370717605500445</c:v>
                </c:pt>
                <c:pt idx="147">
                  <c:v>4.6349282928946298</c:v>
                </c:pt>
                <c:pt idx="148">
                  <c:v>4.8301525233799216</c:v>
                </c:pt>
                <c:pt idx="149">
                  <c:v>4.7317829365671322</c:v>
                </c:pt>
                <c:pt idx="150">
                  <c:v>4.7064549657943884</c:v>
                </c:pt>
                <c:pt idx="151">
                  <c:v>4.8514775798710312</c:v>
                </c:pt>
                <c:pt idx="152">
                  <c:v>4.7024065411152467</c:v>
                </c:pt>
                <c:pt idx="153">
                  <c:v>4.4852073286644476</c:v>
                </c:pt>
                <c:pt idx="154">
                  <c:v>4.5144717731651989</c:v>
                </c:pt>
                <c:pt idx="155">
                  <c:v>4.4576781139935031</c:v>
                </c:pt>
                <c:pt idx="156">
                  <c:v>4.0127774813213639</c:v>
                </c:pt>
                <c:pt idx="157">
                  <c:v>4.1489575253173232</c:v>
                </c:pt>
                <c:pt idx="158">
                  <c:v>4.4726870698213146</c:v>
                </c:pt>
                <c:pt idx="159">
                  <c:v>4.6436654526111312</c:v>
                </c:pt>
                <c:pt idx="160">
                  <c:v>4.6031800733515684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4.840351516197086</c:v>
                </c:pt>
                <c:pt idx="164">
                  <c:v>4.926184360558401</c:v>
                </c:pt>
                <c:pt idx="165">
                  <c:v>5.0975614837989163</c:v>
                </c:pt>
                <c:pt idx="166">
                  <c:v>5.0917194681825189</c:v>
                </c:pt>
                <c:pt idx="167">
                  <c:v>5.3131688483458452</c:v>
                </c:pt>
                <c:pt idx="168">
                  <c:v>5.2029523580738539</c:v>
                </c:pt>
                <c:pt idx="169">
                  <c:v>5.4341694168594277</c:v>
                </c:pt>
                <c:pt idx="170">
                  <c:v>5.7088306293429021</c:v>
                </c:pt>
                <c:pt idx="171">
                  <c:v>6.1339227370390006</c:v>
                </c:pt>
                <c:pt idx="172">
                  <c:v>6.0216578273712598</c:v>
                </c:pt>
                <c:pt idx="173">
                  <c:v>5.9694077570789021</c:v>
                </c:pt>
                <c:pt idx="174">
                  <c:v>6.0977208111722492</c:v>
                </c:pt>
                <c:pt idx="175">
                  <c:v>6.1350678724701799</c:v>
                </c:pt>
                <c:pt idx="176">
                  <c:v>6.2968101971418511</c:v>
                </c:pt>
                <c:pt idx="177">
                  <c:v>6.3280429423385813</c:v>
                </c:pt>
                <c:pt idx="178">
                  <c:v>6.2256027814778934</c:v>
                </c:pt>
                <c:pt idx="179">
                  <c:v>6.3128185954940434</c:v>
                </c:pt>
                <c:pt idx="180">
                  <c:v>6.3734209443715368</c:v>
                </c:pt>
                <c:pt idx="181">
                  <c:v>6.8113460796461238</c:v>
                </c:pt>
                <c:pt idx="182">
                  <c:v>6.9932119487069047</c:v>
                </c:pt>
                <c:pt idx="183">
                  <c:v>7.0241894041274042</c:v>
                </c:pt>
                <c:pt idx="184">
                  <c:v>7.0539256421542591</c:v>
                </c:pt>
                <c:pt idx="185">
                  <c:v>7.0425325391810309</c:v>
                </c:pt>
                <c:pt idx="186">
                  <c:v>7.3130262396353292</c:v>
                </c:pt>
                <c:pt idx="187">
                  <c:v>7.1833939666892794</c:v>
                </c:pt>
                <c:pt idx="188">
                  <c:v>7.2743681551352219</c:v>
                </c:pt>
                <c:pt idx="189">
                  <c:v>7.2405778319539316</c:v>
                </c:pt>
                <c:pt idx="190">
                  <c:v>7.3756969463114617</c:v>
                </c:pt>
                <c:pt idx="191">
                  <c:v>7.5645904551425591</c:v>
                </c:pt>
                <c:pt idx="192">
                  <c:v>7.4501136869153655</c:v>
                </c:pt>
                <c:pt idx="193">
                  <c:v>7.5926774601238662</c:v>
                </c:pt>
                <c:pt idx="194">
                  <c:v>6.5463965912240099</c:v>
                </c:pt>
                <c:pt idx="195">
                  <c:v>6.6490395564810001</c:v>
                </c:pt>
                <c:pt idx="196">
                  <c:v>6.3977612588977877</c:v>
                </c:pt>
                <c:pt idx="197">
                  <c:v>6.1696629980326732</c:v>
                </c:pt>
                <c:pt idx="198">
                  <c:v>6.3504885504001605</c:v>
                </c:pt>
                <c:pt idx="199">
                  <c:v>6.3617976822734361</c:v>
                </c:pt>
                <c:pt idx="200">
                  <c:v>6.3635391633653997</c:v>
                </c:pt>
                <c:pt idx="201">
                  <c:v>6.350505639723333</c:v>
                </c:pt>
                <c:pt idx="202">
                  <c:v>6.4050880552921532</c:v>
                </c:pt>
                <c:pt idx="203">
                  <c:v>6.5885294478571916</c:v>
                </c:pt>
                <c:pt idx="204">
                  <c:v>6.4706963517785541</c:v>
                </c:pt>
                <c:pt idx="205">
                  <c:v>6.7345125666953001</c:v>
                </c:pt>
                <c:pt idx="206">
                  <c:v>6.7807712662871662</c:v>
                </c:pt>
                <c:pt idx="207">
                  <c:v>6.9436768128908843</c:v>
                </c:pt>
                <c:pt idx="208">
                  <c:v>6.9043421531353735</c:v>
                </c:pt>
                <c:pt idx="209">
                  <c:v>7.3543466623435894</c:v>
                </c:pt>
                <c:pt idx="210">
                  <c:v>7.0869687765515881</c:v>
                </c:pt>
                <c:pt idx="211">
                  <c:v>7.162408528995214</c:v>
                </c:pt>
                <c:pt idx="212">
                  <c:v>7.1114496745504887</c:v>
                </c:pt>
                <c:pt idx="213">
                  <c:v>6.9441034714683481</c:v>
                </c:pt>
                <c:pt idx="214">
                  <c:v>7.149465681914239</c:v>
                </c:pt>
                <c:pt idx="215">
                  <c:v>7.3379330317688005</c:v>
                </c:pt>
                <c:pt idx="216">
                  <c:v>7.2077100066898101</c:v>
                </c:pt>
                <c:pt idx="217">
                  <c:v>7.4952388170871158</c:v>
                </c:pt>
                <c:pt idx="218">
                  <c:v>7.6245758709301139</c:v>
                </c:pt>
                <c:pt idx="219">
                  <c:v>7.5459971723659782</c:v>
                </c:pt>
                <c:pt idx="220">
                  <c:v>7.8492350631431211</c:v>
                </c:pt>
                <c:pt idx="221">
                  <c:v>7.8700595773569058</c:v>
                </c:pt>
                <c:pt idx="222">
                  <c:v>7.7413352123337082</c:v>
                </c:pt>
                <c:pt idx="223">
                  <c:v>7.7158471339898851</c:v>
                </c:pt>
                <c:pt idx="224">
                  <c:v>7.7185195957209132</c:v>
                </c:pt>
                <c:pt idx="225">
                  <c:v>7.6612324973280188</c:v>
                </c:pt>
                <c:pt idx="226">
                  <c:v>7.5234894497661635</c:v>
                </c:pt>
                <c:pt idx="227">
                  <c:v>7.6543485823002344</c:v>
                </c:pt>
                <c:pt idx="228">
                  <c:v>7.7277888954760332</c:v>
                </c:pt>
                <c:pt idx="229">
                  <c:v>7.9886578768900067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265-438E-8986-6BDE793ABC75}"/>
            </c:ext>
          </c:extLst>
        </c:ser>
        <c:ser>
          <c:idx val="5"/>
          <c:order val="4"/>
          <c:tx>
            <c:strRef>
              <c:f>'G2.4B'!$K$3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</a:ln>
          </c:spPr>
          <c:marker>
            <c:symbol val="none"/>
          </c:marker>
          <c:dLbls>
            <c:dLbl>
              <c:idx val="229"/>
              <c:layout/>
              <c:tx>
                <c:rich>
                  <a:bodyPr/>
                  <a:lstStyle/>
                  <a:p>
                    <a:r>
                      <a:rPr lang="en-US"/>
                      <a:t>5,1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08E-4406-B9DC-5D5D36D0589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642F04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'G2.4B'!$A$4:$A$233</c:f>
              <c:numCache>
                <c:formatCode>mmm\-yy</c:formatCode>
                <c:ptCount val="230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'G2.4B'!$K$4:$K$233</c:f>
              <c:numCache>
                <c:formatCode>0.0</c:formatCode>
                <c:ptCount val="230"/>
                <c:pt idx="0">
                  <c:v>10.618019472143347</c:v>
                </c:pt>
                <c:pt idx="1">
                  <c:v>12.087305287420968</c:v>
                </c:pt>
                <c:pt idx="2">
                  <c:v>12.870428834682185</c:v>
                </c:pt>
                <c:pt idx="3">
                  <c:v>13.669135178322945</c:v>
                </c:pt>
                <c:pt idx="4">
                  <c:v>14.641145792378337</c:v>
                </c:pt>
                <c:pt idx="5">
                  <c:v>14.177321284464975</c:v>
                </c:pt>
                <c:pt idx="6">
                  <c:v>12.824030976114093</c:v>
                </c:pt>
                <c:pt idx="7">
                  <c:v>13.397457577611538</c:v>
                </c:pt>
                <c:pt idx="8">
                  <c:v>13.4771432762085</c:v>
                </c:pt>
                <c:pt idx="9">
                  <c:v>13.315482521916723</c:v>
                </c:pt>
                <c:pt idx="10">
                  <c:v>14.308456548605115</c:v>
                </c:pt>
                <c:pt idx="11">
                  <c:v>16.186922870391879</c:v>
                </c:pt>
                <c:pt idx="12">
                  <c:v>13.471831706662234</c:v>
                </c:pt>
                <c:pt idx="13">
                  <c:v>14.444737003007464</c:v>
                </c:pt>
                <c:pt idx="14">
                  <c:v>12.769521789491757</c:v>
                </c:pt>
                <c:pt idx="15">
                  <c:v>12.086515205946698</c:v>
                </c:pt>
                <c:pt idx="16">
                  <c:v>11.54050216539701</c:v>
                </c:pt>
                <c:pt idx="17">
                  <c:v>11.170743050788209</c:v>
                </c:pt>
                <c:pt idx="18">
                  <c:v>10.444279445289686</c:v>
                </c:pt>
                <c:pt idx="19">
                  <c:v>11.432004253455659</c:v>
                </c:pt>
                <c:pt idx="20">
                  <c:v>11.832785909283082</c:v>
                </c:pt>
                <c:pt idx="21">
                  <c:v>12.159472756937539</c:v>
                </c:pt>
                <c:pt idx="22">
                  <c:v>11.40111150062838</c:v>
                </c:pt>
                <c:pt idx="23">
                  <c:v>11.362612631169057</c:v>
                </c:pt>
                <c:pt idx="24">
                  <c:v>10.839533342735727</c:v>
                </c:pt>
                <c:pt idx="25">
                  <c:v>11.285914847414814</c:v>
                </c:pt>
                <c:pt idx="26">
                  <c:v>11.22600458464766</c:v>
                </c:pt>
                <c:pt idx="27">
                  <c:v>11.184176902338393</c:v>
                </c:pt>
                <c:pt idx="28">
                  <c:v>11.110178384630956</c:v>
                </c:pt>
                <c:pt idx="29">
                  <c:v>10.846077570373842</c:v>
                </c:pt>
                <c:pt idx="30">
                  <c:v>10.526171036873352</c:v>
                </c:pt>
                <c:pt idx="31">
                  <c:v>10.606375517788104</c:v>
                </c:pt>
                <c:pt idx="32">
                  <c:v>10.591086249220087</c:v>
                </c:pt>
                <c:pt idx="33">
                  <c:v>10.502165379115873</c:v>
                </c:pt>
                <c:pt idx="34">
                  <c:v>10.351730558423558</c:v>
                </c:pt>
                <c:pt idx="35">
                  <c:v>10.074002240973224</c:v>
                </c:pt>
                <c:pt idx="36">
                  <c:v>9.5379084397792884</c:v>
                </c:pt>
                <c:pt idx="37">
                  <c:v>13.760696870457091</c:v>
                </c:pt>
                <c:pt idx="38">
                  <c:v>13.642144286877052</c:v>
                </c:pt>
                <c:pt idx="39">
                  <c:v>13.722313936141433</c:v>
                </c:pt>
                <c:pt idx="40">
                  <c:v>13.504206355002053</c:v>
                </c:pt>
                <c:pt idx="41">
                  <c:v>13.408734576376855</c:v>
                </c:pt>
                <c:pt idx="42">
                  <c:v>13.1562368495798</c:v>
                </c:pt>
                <c:pt idx="43">
                  <c:v>12.795471799286851</c:v>
                </c:pt>
                <c:pt idx="44">
                  <c:v>12.412743996054562</c:v>
                </c:pt>
                <c:pt idx="45">
                  <c:v>12.067802873483908</c:v>
                </c:pt>
                <c:pt idx="46">
                  <c:v>11.897857053804334</c:v>
                </c:pt>
                <c:pt idx="47">
                  <c:v>11.859270315102174</c:v>
                </c:pt>
                <c:pt idx="48">
                  <c:v>11.015890494353668</c:v>
                </c:pt>
                <c:pt idx="49">
                  <c:v>11.005856037937829</c:v>
                </c:pt>
                <c:pt idx="50">
                  <c:v>10.97748557765374</c:v>
                </c:pt>
                <c:pt idx="51">
                  <c:v>11.108049683588956</c:v>
                </c:pt>
                <c:pt idx="52">
                  <c:v>10.88056391517774</c:v>
                </c:pt>
                <c:pt idx="53">
                  <c:v>10.916304737827668</c:v>
                </c:pt>
                <c:pt idx="54">
                  <c:v>10.58459500288286</c:v>
                </c:pt>
                <c:pt idx="55">
                  <c:v>10.239327201370454</c:v>
                </c:pt>
                <c:pt idx="56">
                  <c:v>10.274956470359919</c:v>
                </c:pt>
                <c:pt idx="57">
                  <c:v>10.068269678366592</c:v>
                </c:pt>
                <c:pt idx="58">
                  <c:v>9.7819876218494528</c:v>
                </c:pt>
                <c:pt idx="59">
                  <c:v>9.6679957293985073</c:v>
                </c:pt>
                <c:pt idx="60">
                  <c:v>8.7452716243403934</c:v>
                </c:pt>
                <c:pt idx="61">
                  <c:v>8.797284574214677</c:v>
                </c:pt>
                <c:pt idx="62">
                  <c:v>8.6462396704703401</c:v>
                </c:pt>
                <c:pt idx="63">
                  <c:v>8.6472776006873691</c:v>
                </c:pt>
                <c:pt idx="64">
                  <c:v>8.6302430356800013</c:v>
                </c:pt>
                <c:pt idx="65">
                  <c:v>8.231587927408242</c:v>
                </c:pt>
                <c:pt idx="66">
                  <c:v>7.2079620968999798</c:v>
                </c:pt>
                <c:pt idx="67">
                  <c:v>7.136278390005546</c:v>
                </c:pt>
                <c:pt idx="68">
                  <c:v>6.6559050338044976</c:v>
                </c:pt>
                <c:pt idx="69">
                  <c:v>6.0467986782961392</c:v>
                </c:pt>
                <c:pt idx="70">
                  <c:v>5.8882378550242001</c:v>
                </c:pt>
                <c:pt idx="71">
                  <c:v>5.6863269600525364</c:v>
                </c:pt>
                <c:pt idx="72">
                  <c:v>4.5651602686133881</c:v>
                </c:pt>
                <c:pt idx="73">
                  <c:v>4.8448683438205249</c:v>
                </c:pt>
                <c:pt idx="74">
                  <c:v>4.7972223524323034</c:v>
                </c:pt>
                <c:pt idx="75">
                  <c:v>4.8640117963545419</c:v>
                </c:pt>
                <c:pt idx="76">
                  <c:v>4.7145525156558659</c:v>
                </c:pt>
                <c:pt idx="77">
                  <c:v>4.7802875559826212</c:v>
                </c:pt>
                <c:pt idx="78">
                  <c:v>4.3895620342426982</c:v>
                </c:pt>
                <c:pt idx="79">
                  <c:v>4.5111873134473681</c:v>
                </c:pt>
                <c:pt idx="80">
                  <c:v>4.463842543390995</c:v>
                </c:pt>
                <c:pt idx="81">
                  <c:v>4.330843345465289</c:v>
                </c:pt>
                <c:pt idx="82">
                  <c:v>4.4273394995485305</c:v>
                </c:pt>
                <c:pt idx="83">
                  <c:v>4.3172431025740599</c:v>
                </c:pt>
                <c:pt idx="84">
                  <c:v>3.5737805362574737</c:v>
                </c:pt>
                <c:pt idx="85">
                  <c:v>3.8966255834872774</c:v>
                </c:pt>
                <c:pt idx="86">
                  <c:v>3.8840899133554756</c:v>
                </c:pt>
                <c:pt idx="87">
                  <c:v>3.9898779351710441</c:v>
                </c:pt>
                <c:pt idx="88">
                  <c:v>4.0372249838479073</c:v>
                </c:pt>
                <c:pt idx="89">
                  <c:v>4.336073657380167</c:v>
                </c:pt>
                <c:pt idx="90">
                  <c:v>3.657864944013419</c:v>
                </c:pt>
                <c:pt idx="91">
                  <c:v>3.7507861968255516</c:v>
                </c:pt>
                <c:pt idx="92">
                  <c:v>3.5107050142368403</c:v>
                </c:pt>
                <c:pt idx="93">
                  <c:v>3.487870231698043</c:v>
                </c:pt>
                <c:pt idx="94">
                  <c:v>3.540588705695356</c:v>
                </c:pt>
                <c:pt idx="95">
                  <c:v>3.4498740566352364</c:v>
                </c:pt>
                <c:pt idx="96">
                  <c:v>3.2074090862312836</c:v>
                </c:pt>
                <c:pt idx="97">
                  <c:v>3.4300061651797589</c:v>
                </c:pt>
                <c:pt idx="98">
                  <c:v>3.4462647626047715</c:v>
                </c:pt>
                <c:pt idx="99">
                  <c:v>3.4604488506597733</c:v>
                </c:pt>
                <c:pt idx="100">
                  <c:v>3.6617900192127468</c:v>
                </c:pt>
                <c:pt idx="101">
                  <c:v>3.5742397725114934</c:v>
                </c:pt>
                <c:pt idx="102">
                  <c:v>3.6085820434520675</c:v>
                </c:pt>
                <c:pt idx="103">
                  <c:v>3.7444466002434091</c:v>
                </c:pt>
                <c:pt idx="104">
                  <c:v>3.7021494987713965</c:v>
                </c:pt>
                <c:pt idx="105">
                  <c:v>3.7433083154823188</c:v>
                </c:pt>
                <c:pt idx="106">
                  <c:v>3.8561431804848931</c:v>
                </c:pt>
                <c:pt idx="107">
                  <c:v>3.9942416149614446</c:v>
                </c:pt>
                <c:pt idx="108">
                  <c:v>3.7598040454919084</c:v>
                </c:pt>
                <c:pt idx="109">
                  <c:v>4.0633682561050524</c:v>
                </c:pt>
                <c:pt idx="110">
                  <c:v>4.2191645173276093</c:v>
                </c:pt>
                <c:pt idx="111">
                  <c:v>4.5647999725002704</c:v>
                </c:pt>
                <c:pt idx="112">
                  <c:v>4.5625536807718623</c:v>
                </c:pt>
                <c:pt idx="113">
                  <c:v>4.7270159240941974</c:v>
                </c:pt>
                <c:pt idx="114">
                  <c:v>4.5066545907872646</c:v>
                </c:pt>
                <c:pt idx="115">
                  <c:v>4.4942708074153472</c:v>
                </c:pt>
                <c:pt idx="116">
                  <c:v>4.764254842298425</c:v>
                </c:pt>
                <c:pt idx="117">
                  <c:v>4.6901057355658224</c:v>
                </c:pt>
                <c:pt idx="118">
                  <c:v>4.6584232822974165</c:v>
                </c:pt>
                <c:pt idx="119">
                  <c:v>4.9663444723839589</c:v>
                </c:pt>
                <c:pt idx="120">
                  <c:v>4.591208328528011</c:v>
                </c:pt>
                <c:pt idx="121">
                  <c:v>5.0014264302679772</c:v>
                </c:pt>
                <c:pt idx="122">
                  <c:v>5.1451523592792388</c:v>
                </c:pt>
                <c:pt idx="123">
                  <c:v>5.1676329425298722</c:v>
                </c:pt>
                <c:pt idx="124">
                  <c:v>5.3518670591348698</c:v>
                </c:pt>
                <c:pt idx="125">
                  <c:v>5.3905630376239939</c:v>
                </c:pt>
                <c:pt idx="126">
                  <c:v>5.2402213268982205</c:v>
                </c:pt>
                <c:pt idx="127">
                  <c:v>5.1066739844939919</c:v>
                </c:pt>
                <c:pt idx="128">
                  <c:v>5.3424959430091334</c:v>
                </c:pt>
                <c:pt idx="129">
                  <c:v>5.1018160582215808</c:v>
                </c:pt>
                <c:pt idx="130">
                  <c:v>5.1409242892722133</c:v>
                </c:pt>
                <c:pt idx="131">
                  <c:v>5.2133574000361103</c:v>
                </c:pt>
                <c:pt idx="132">
                  <c:v>4.5858333397022939</c:v>
                </c:pt>
                <c:pt idx="133">
                  <c:v>4.8599375524701518</c:v>
                </c:pt>
                <c:pt idx="134">
                  <c:v>4.9723677672142843</c:v>
                </c:pt>
                <c:pt idx="135">
                  <c:v>4.8675164512988678</c:v>
                </c:pt>
                <c:pt idx="136">
                  <c:v>4.9718978707960826</c:v>
                </c:pt>
                <c:pt idx="137">
                  <c:v>4.7652667962197537</c:v>
                </c:pt>
                <c:pt idx="138">
                  <c:v>4.4090586303208958</c:v>
                </c:pt>
                <c:pt idx="139">
                  <c:v>4.4530296878909814</c:v>
                </c:pt>
                <c:pt idx="140">
                  <c:v>4.2667331891127773</c:v>
                </c:pt>
                <c:pt idx="141">
                  <c:v>3.9175144944808964</c:v>
                </c:pt>
                <c:pt idx="142">
                  <c:v>3.8994103093933012</c:v>
                </c:pt>
                <c:pt idx="143">
                  <c:v>3.7038845468197352</c:v>
                </c:pt>
                <c:pt idx="144">
                  <c:v>3.2199867195202501</c:v>
                </c:pt>
                <c:pt idx="145">
                  <c:v>3.4380527418299991</c:v>
                </c:pt>
                <c:pt idx="146">
                  <c:v>3.4908563340447727</c:v>
                </c:pt>
                <c:pt idx="147">
                  <c:v>3.4165191298156108</c:v>
                </c:pt>
                <c:pt idx="148">
                  <c:v>3.4542613505064903</c:v>
                </c:pt>
                <c:pt idx="149">
                  <c:v>3.2297191602965256</c:v>
                </c:pt>
                <c:pt idx="150">
                  <c:v>3.1537020177141248</c:v>
                </c:pt>
                <c:pt idx="151">
                  <c:v>3.2477937040575182</c:v>
                </c:pt>
                <c:pt idx="152">
                  <c:v>3.1691946091751397</c:v>
                </c:pt>
                <c:pt idx="153">
                  <c:v>3.1660767062986799</c:v>
                </c:pt>
                <c:pt idx="154">
                  <c:v>3.2663429216574009</c:v>
                </c:pt>
                <c:pt idx="155">
                  <c:v>3.141443573241685</c:v>
                </c:pt>
                <c:pt idx="156">
                  <c:v>2.8029710732072202</c:v>
                </c:pt>
                <c:pt idx="157">
                  <c:v>3.0584765461249992</c:v>
                </c:pt>
                <c:pt idx="158">
                  <c:v>3.1634361288317816</c:v>
                </c:pt>
                <c:pt idx="159">
                  <c:v>3.1658332590289255</c:v>
                </c:pt>
                <c:pt idx="160">
                  <c:v>3.3465777683836149</c:v>
                </c:pt>
                <c:pt idx="161">
                  <c:v>3.2788788247183147</c:v>
                </c:pt>
                <c:pt idx="162">
                  <c:v>3.2337913730064125</c:v>
                </c:pt>
                <c:pt idx="163">
                  <c:v>3.3174062237122199</c:v>
                </c:pt>
                <c:pt idx="164">
                  <c:v>3.2750084614305344</c:v>
                </c:pt>
                <c:pt idx="165">
                  <c:v>3.2964129285364159</c:v>
                </c:pt>
                <c:pt idx="166">
                  <c:v>3.2596024202061464</c:v>
                </c:pt>
                <c:pt idx="167">
                  <c:v>3.3415667955995363</c:v>
                </c:pt>
                <c:pt idx="168">
                  <c:v>3.155765418888627</c:v>
                </c:pt>
                <c:pt idx="169">
                  <c:v>3.3470656471866422</c:v>
                </c:pt>
                <c:pt idx="170">
                  <c:v>3.3956704151778423</c:v>
                </c:pt>
                <c:pt idx="171">
                  <c:v>3.6133560996443292</c:v>
                </c:pt>
                <c:pt idx="172">
                  <c:v>3.601293377287333</c:v>
                </c:pt>
                <c:pt idx="173">
                  <c:v>3.4434082150366705</c:v>
                </c:pt>
                <c:pt idx="174">
                  <c:v>3.3691314749280115</c:v>
                </c:pt>
                <c:pt idx="175">
                  <c:v>3.2673644299699598</c:v>
                </c:pt>
                <c:pt idx="176">
                  <c:v>3.3622310078089446</c:v>
                </c:pt>
                <c:pt idx="177">
                  <c:v>3.35561310480356</c:v>
                </c:pt>
                <c:pt idx="178">
                  <c:v>3.3128258313650445</c:v>
                </c:pt>
                <c:pt idx="179">
                  <c:v>3.4016451256097908</c:v>
                </c:pt>
                <c:pt idx="180">
                  <c:v>3.1197777371697639</c:v>
                </c:pt>
                <c:pt idx="181">
                  <c:v>3.2806017221085302</c:v>
                </c:pt>
                <c:pt idx="182">
                  <c:v>3.327895452102327</c:v>
                </c:pt>
                <c:pt idx="183">
                  <c:v>3.4124984756290182</c:v>
                </c:pt>
                <c:pt idx="184">
                  <c:v>3.4702782201651483</c:v>
                </c:pt>
                <c:pt idx="185">
                  <c:v>3.4416448681974781</c:v>
                </c:pt>
                <c:pt idx="186">
                  <c:v>3.4714394717561272</c:v>
                </c:pt>
                <c:pt idx="187">
                  <c:v>3.3464885334028907</c:v>
                </c:pt>
                <c:pt idx="188">
                  <c:v>3.5011034522757316</c:v>
                </c:pt>
                <c:pt idx="189">
                  <c:v>3.4666160448053964</c:v>
                </c:pt>
                <c:pt idx="190">
                  <c:v>3.4361189216140482</c:v>
                </c:pt>
                <c:pt idx="191">
                  <c:v>3.4804018233722975</c:v>
                </c:pt>
                <c:pt idx="192">
                  <c:v>3.2499893548519063</c:v>
                </c:pt>
                <c:pt idx="193">
                  <c:v>3.4440741564672837</c:v>
                </c:pt>
                <c:pt idx="194">
                  <c:v>3.436179696053443</c:v>
                </c:pt>
                <c:pt idx="195">
                  <c:v>3.3782421193293657</c:v>
                </c:pt>
                <c:pt idx="196">
                  <c:v>3.496238443689256</c:v>
                </c:pt>
                <c:pt idx="197">
                  <c:v>3.4990285334613582</c:v>
                </c:pt>
                <c:pt idx="198">
                  <c:v>3.5114755306538243</c:v>
                </c:pt>
                <c:pt idx="199">
                  <c:v>3.4070018537985773</c:v>
                </c:pt>
                <c:pt idx="200">
                  <c:v>3.4322948124065098</c:v>
                </c:pt>
                <c:pt idx="201">
                  <c:v>3.3974998362980147</c:v>
                </c:pt>
                <c:pt idx="202">
                  <c:v>3.365093217323301</c:v>
                </c:pt>
                <c:pt idx="203">
                  <c:v>3.4566090079387046</c:v>
                </c:pt>
                <c:pt idx="204">
                  <c:v>3.2190049064085087</c:v>
                </c:pt>
                <c:pt idx="205">
                  <c:v>3.3941299925660391</c:v>
                </c:pt>
                <c:pt idx="206">
                  <c:v>3.4815649732363418</c:v>
                </c:pt>
                <c:pt idx="207">
                  <c:v>3.5789858635939598</c:v>
                </c:pt>
                <c:pt idx="208">
                  <c:v>3.6370655955265274</c:v>
                </c:pt>
                <c:pt idx="209">
                  <c:v>3.6508012348034087</c:v>
                </c:pt>
                <c:pt idx="210">
                  <c:v>3.4962371983866993</c:v>
                </c:pt>
                <c:pt idx="211">
                  <c:v>3.7079034532853905</c:v>
                </c:pt>
                <c:pt idx="212">
                  <c:v>3.6887341169021566</c:v>
                </c:pt>
                <c:pt idx="213">
                  <c:v>3.6966930324491649</c:v>
                </c:pt>
                <c:pt idx="214">
                  <c:v>3.8660307867427699</c:v>
                </c:pt>
                <c:pt idx="215">
                  <c:v>3.9110372680244732</c:v>
                </c:pt>
                <c:pt idx="216">
                  <c:v>3.591683584233746</c:v>
                </c:pt>
                <c:pt idx="217">
                  <c:v>4.2108810857246342</c:v>
                </c:pt>
                <c:pt idx="218">
                  <c:v>4.2471400608845684</c:v>
                </c:pt>
                <c:pt idx="219">
                  <c:v>4.4295199052014045</c:v>
                </c:pt>
                <c:pt idx="220">
                  <c:v>4.7022300233597356</c:v>
                </c:pt>
                <c:pt idx="221">
                  <c:v>4.7591031188117947</c:v>
                </c:pt>
                <c:pt idx="222">
                  <c:v>4.7829664407757511</c:v>
                </c:pt>
                <c:pt idx="223">
                  <c:v>4.9279764393745644</c:v>
                </c:pt>
                <c:pt idx="224">
                  <c:v>4.960842589913903</c:v>
                </c:pt>
                <c:pt idx="225">
                  <c:v>5.0055862374185187</c:v>
                </c:pt>
                <c:pt idx="226">
                  <c:v>4.9989023533249579</c:v>
                </c:pt>
                <c:pt idx="227">
                  <c:v>5.101668883449233</c:v>
                </c:pt>
                <c:pt idx="228">
                  <c:v>4.8307139955800453</c:v>
                </c:pt>
                <c:pt idx="229">
                  <c:v>5.1158697595616074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265-438E-8986-6BDE793AB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86416"/>
        <c:axId val="248932960"/>
      </c:lineChart>
      <c:dateAx>
        <c:axId val="105386416"/>
        <c:scaling>
          <c:orientation val="minMax"/>
          <c:max val="43101"/>
          <c:min val="42736"/>
        </c:scaling>
        <c:delete val="0"/>
        <c:axPos val="b"/>
        <c:numFmt formatCode="mmm\-yy" sourceLinked="1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248932960"/>
        <c:crosses val="autoZero"/>
        <c:auto val="1"/>
        <c:lblOffset val="100"/>
        <c:baseTimeUnit val="months"/>
        <c:majorUnit val="6"/>
        <c:majorTimeUnit val="months"/>
      </c:dateAx>
      <c:valAx>
        <c:axId val="248932960"/>
        <c:scaling>
          <c:orientation val="minMax"/>
          <c:max val="9"/>
          <c:min val="3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105386416"/>
        <c:crosses val="autoZero"/>
        <c:crossBetween val="midCat"/>
        <c:minorUnit val="2"/>
      </c:valAx>
      <c:spPr>
        <a:solidFill>
          <a:schemeClr val="accent2">
            <a:lumMod val="20000"/>
            <a:lumOff val="80000"/>
          </a:schemeClr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91305739437994E-2"/>
          <c:y val="9.0882302320365912E-2"/>
          <c:w val="0.86600546968346914"/>
          <c:h val="0.72537808655511549"/>
        </c:manualLayout>
      </c:layout>
      <c:lineChart>
        <c:grouping val="standard"/>
        <c:varyColors val="0"/>
        <c:ser>
          <c:idx val="0"/>
          <c:order val="0"/>
          <c:tx>
            <c:strRef>
              <c:f>'G2.5A'!$G$2</c:f>
              <c:strCache>
                <c:ptCount val="1"/>
                <c:pt idx="0">
                  <c:v>ROA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29"/>
              <c:layout/>
              <c:tx>
                <c:rich>
                  <a:bodyPr/>
                  <a:lstStyle/>
                  <a:p>
                    <a:r>
                      <a:rPr lang="en-US"/>
                      <a:t>1.4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'G2.5A'!$A$3:$A$500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'G2.5A'!$G$3:$G$500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-2.2771098558456861</c:v>
                </c:pt>
                <c:pt idx="2">
                  <c:v>-2.5440392611364104</c:v>
                </c:pt>
                <c:pt idx="3">
                  <c:v>-2.76525012247716</c:v>
                </c:pt>
                <c:pt idx="4">
                  <c:v>-3.0241853119001423</c:v>
                </c:pt>
                <c:pt idx="5">
                  <c:v>-3.2164348386558781</c:v>
                </c:pt>
                <c:pt idx="6">
                  <c:v>-3.3419452638276614</c:v>
                </c:pt>
                <c:pt idx="7">
                  <c:v>-3.3291980298514887</c:v>
                </c:pt>
                <c:pt idx="8">
                  <c:v>-3.5423065461145513</c:v>
                </c:pt>
                <c:pt idx="9">
                  <c:v>-3.8535066722887756</c:v>
                </c:pt>
                <c:pt idx="10">
                  <c:v>-3.695742408060696</c:v>
                </c:pt>
                <c:pt idx="11">
                  <c:v>-3.6814931094891485</c:v>
                </c:pt>
                <c:pt idx="12">
                  <c:v>-3.6562232102352827</c:v>
                </c:pt>
                <c:pt idx="13">
                  <c:v>-3.5410856963985431</c:v>
                </c:pt>
                <c:pt idx="14">
                  <c:v>-3.2913500237739139</c:v>
                </c:pt>
                <c:pt idx="15">
                  <c:v>-3.2247159337605393</c:v>
                </c:pt>
                <c:pt idx="16">
                  <c:v>-3.6421962777620567</c:v>
                </c:pt>
                <c:pt idx="17">
                  <c:v>-3.6979937116954256</c:v>
                </c:pt>
                <c:pt idx="18">
                  <c:v>-3.7581374236535807</c:v>
                </c:pt>
                <c:pt idx="19">
                  <c:v>-3.8820161148604551</c:v>
                </c:pt>
                <c:pt idx="20">
                  <c:v>-3.8637570043845564</c:v>
                </c:pt>
                <c:pt idx="21">
                  <c:v>-3.639386716807802</c:v>
                </c:pt>
                <c:pt idx="22">
                  <c:v>-3.1352644531499836</c:v>
                </c:pt>
                <c:pt idx="23">
                  <c:v>-3.0393114878148499</c:v>
                </c:pt>
                <c:pt idx="24">
                  <c:v>-2.345117148541652</c:v>
                </c:pt>
                <c:pt idx="25">
                  <c:v>-2.3064702226010536</c:v>
                </c:pt>
                <c:pt idx="26">
                  <c:v>-2.3118417392925168</c:v>
                </c:pt>
                <c:pt idx="27">
                  <c:v>-1.9798995975219735</c:v>
                </c:pt>
                <c:pt idx="28">
                  <c:v>-1.2477285360102037</c:v>
                </c:pt>
                <c:pt idx="29">
                  <c:v>-0.95883307985642452</c:v>
                </c:pt>
                <c:pt idx="30">
                  <c:v>-0.73780122911161861</c:v>
                </c:pt>
                <c:pt idx="31">
                  <c:v>-0.49824447273447575</c:v>
                </c:pt>
                <c:pt idx="32">
                  <c:v>-0.20053421618042278</c:v>
                </c:pt>
                <c:pt idx="33">
                  <c:v>-0.35412776122500683</c:v>
                </c:pt>
                <c:pt idx="34">
                  <c:v>-0.44781106767604995</c:v>
                </c:pt>
                <c:pt idx="35">
                  <c:v>-0.21378066772354537</c:v>
                </c:pt>
                <c:pt idx="36">
                  <c:v>0.38118325247111862</c:v>
                </c:pt>
                <c:pt idx="37">
                  <c:v>0.42040544222937343</c:v>
                </c:pt>
                <c:pt idx="38">
                  <c:v>0.51115669200374247</c:v>
                </c:pt>
                <c:pt idx="39">
                  <c:v>0.41697214549101508</c:v>
                </c:pt>
                <c:pt idx="40">
                  <c:v>0.48526505220402338</c:v>
                </c:pt>
                <c:pt idx="41">
                  <c:v>0.64031946377382798</c:v>
                </c:pt>
                <c:pt idx="42">
                  <c:v>0.7863758022679338</c:v>
                </c:pt>
                <c:pt idx="43">
                  <c:v>0.79970711858728516</c:v>
                </c:pt>
                <c:pt idx="44">
                  <c:v>0.75872842572954802</c:v>
                </c:pt>
                <c:pt idx="45">
                  <c:v>1.0545311739831382</c:v>
                </c:pt>
                <c:pt idx="46">
                  <c:v>1.1176018491820945</c:v>
                </c:pt>
                <c:pt idx="47">
                  <c:v>1.1697435250374906</c:v>
                </c:pt>
                <c:pt idx="48">
                  <c:v>1.0825540471672908</c:v>
                </c:pt>
                <c:pt idx="49">
                  <c:v>1.1322255622485935</c:v>
                </c:pt>
                <c:pt idx="50">
                  <c:v>1.1708820904595125</c:v>
                </c:pt>
                <c:pt idx="51">
                  <c:v>1.2493454222629299</c:v>
                </c:pt>
                <c:pt idx="52">
                  <c:v>1.2795155496674946</c:v>
                </c:pt>
                <c:pt idx="53">
                  <c:v>1.2788075812130675</c:v>
                </c:pt>
                <c:pt idx="54">
                  <c:v>1.3958363143215482</c:v>
                </c:pt>
                <c:pt idx="55">
                  <c:v>1.5131836608409639</c:v>
                </c:pt>
                <c:pt idx="56">
                  <c:v>1.6750360010975924</c:v>
                </c:pt>
                <c:pt idx="57">
                  <c:v>1.7549247998661466</c:v>
                </c:pt>
                <c:pt idx="58">
                  <c:v>1.7678554761666323</c:v>
                </c:pt>
                <c:pt idx="59">
                  <c:v>1.7340595163085604</c:v>
                </c:pt>
                <c:pt idx="60">
                  <c:v>1.8933344786940718</c:v>
                </c:pt>
                <c:pt idx="61">
                  <c:v>2.0413402422787139</c:v>
                </c:pt>
                <c:pt idx="62">
                  <c:v>2.1691852123431952</c:v>
                </c:pt>
                <c:pt idx="63">
                  <c:v>2.2968756802791019</c:v>
                </c:pt>
                <c:pt idx="64">
                  <c:v>2.3069535963773267</c:v>
                </c:pt>
                <c:pt idx="65">
                  <c:v>2.3045010672727533</c:v>
                </c:pt>
                <c:pt idx="66">
                  <c:v>2.2547834813814354</c:v>
                </c:pt>
                <c:pt idx="67">
                  <c:v>2.2548428249741339</c:v>
                </c:pt>
                <c:pt idx="68">
                  <c:v>2.3497944332743135</c:v>
                </c:pt>
                <c:pt idx="69">
                  <c:v>2.4751640740755572</c:v>
                </c:pt>
                <c:pt idx="70">
                  <c:v>2.5152633790090757</c:v>
                </c:pt>
                <c:pt idx="71">
                  <c:v>2.6333713083807009</c:v>
                </c:pt>
                <c:pt idx="72">
                  <c:v>2.7163745341443541</c:v>
                </c:pt>
                <c:pt idx="73">
                  <c:v>2.6704287577482928</c:v>
                </c:pt>
                <c:pt idx="74">
                  <c:v>2.7035618507919437</c:v>
                </c:pt>
                <c:pt idx="75">
                  <c:v>2.5443113958092365</c:v>
                </c:pt>
                <c:pt idx="76">
                  <c:v>2.6768307816306418</c:v>
                </c:pt>
                <c:pt idx="77">
                  <c:v>2.7487236718634906</c:v>
                </c:pt>
                <c:pt idx="78">
                  <c:v>2.8981170573030361</c:v>
                </c:pt>
                <c:pt idx="79">
                  <c:v>2.9002645777666056</c:v>
                </c:pt>
                <c:pt idx="80">
                  <c:v>2.9122060491890505</c:v>
                </c:pt>
                <c:pt idx="81">
                  <c:v>3.0174717697107933</c:v>
                </c:pt>
                <c:pt idx="82">
                  <c:v>2.9733175555641176</c:v>
                </c:pt>
                <c:pt idx="83">
                  <c:v>2.9023385912336175</c:v>
                </c:pt>
                <c:pt idx="84">
                  <c:v>2.799902989183487</c:v>
                </c:pt>
                <c:pt idx="85">
                  <c:v>2.7908501878847769</c:v>
                </c:pt>
                <c:pt idx="86">
                  <c:v>2.7531341903788182</c:v>
                </c:pt>
                <c:pt idx="87">
                  <c:v>2.9036076922614362</c:v>
                </c:pt>
                <c:pt idx="88">
                  <c:v>2.7995751373404145</c:v>
                </c:pt>
                <c:pt idx="89">
                  <c:v>2.6151602949569157</c:v>
                </c:pt>
                <c:pt idx="90">
                  <c:v>2.3562323713514908</c:v>
                </c:pt>
                <c:pt idx="91">
                  <c:v>2.3287484858398901</c:v>
                </c:pt>
                <c:pt idx="92">
                  <c:v>2.3666375031049589</c:v>
                </c:pt>
                <c:pt idx="93">
                  <c:v>2.1645345259452169</c:v>
                </c:pt>
                <c:pt idx="94">
                  <c:v>2.5062810268090012</c:v>
                </c:pt>
                <c:pt idx="95">
                  <c:v>2.4307529407689357</c:v>
                </c:pt>
                <c:pt idx="96">
                  <c:v>2.4763177425190812</c:v>
                </c:pt>
                <c:pt idx="97">
                  <c:v>2.3921725123254869</c:v>
                </c:pt>
                <c:pt idx="98">
                  <c:v>2.3268898595877512</c:v>
                </c:pt>
                <c:pt idx="99">
                  <c:v>2.3551044394943479</c:v>
                </c:pt>
                <c:pt idx="100">
                  <c:v>2.3161251662926841</c:v>
                </c:pt>
                <c:pt idx="101">
                  <c:v>2.4117998870699058</c:v>
                </c:pt>
                <c:pt idx="102">
                  <c:v>2.5372292912039232</c:v>
                </c:pt>
                <c:pt idx="103">
                  <c:v>2.572647410564771</c:v>
                </c:pt>
                <c:pt idx="104">
                  <c:v>2.6050035421690172</c:v>
                </c:pt>
                <c:pt idx="105">
                  <c:v>2.5080036436225654</c:v>
                </c:pt>
                <c:pt idx="106">
                  <c:v>2.2069170410740897</c:v>
                </c:pt>
                <c:pt idx="107">
                  <c:v>2.2467440771220257</c:v>
                </c:pt>
                <c:pt idx="108">
                  <c:v>2.2444621802178122</c:v>
                </c:pt>
                <c:pt idx="109">
                  <c:v>2.2580084896016475</c:v>
                </c:pt>
                <c:pt idx="110">
                  <c:v>2.2877317411792029</c:v>
                </c:pt>
                <c:pt idx="111">
                  <c:v>2.3464439773238381</c:v>
                </c:pt>
                <c:pt idx="112">
                  <c:v>2.4041786437451766</c:v>
                </c:pt>
                <c:pt idx="113">
                  <c:v>2.4256686310921309</c:v>
                </c:pt>
                <c:pt idx="114">
                  <c:v>2.3661699802406657</c:v>
                </c:pt>
                <c:pt idx="115">
                  <c:v>2.4160148693289076</c:v>
                </c:pt>
                <c:pt idx="116">
                  <c:v>2.3718872969201348</c:v>
                </c:pt>
                <c:pt idx="117">
                  <c:v>2.5133975119352416</c:v>
                </c:pt>
                <c:pt idx="118">
                  <c:v>2.5012584187378062</c:v>
                </c:pt>
                <c:pt idx="119">
                  <c:v>2.5059979259769389</c:v>
                </c:pt>
                <c:pt idx="120">
                  <c:v>2.4462593788039935</c:v>
                </c:pt>
                <c:pt idx="121">
                  <c:v>2.4605295297378409</c:v>
                </c:pt>
                <c:pt idx="122">
                  <c:v>2.5020661008880842</c:v>
                </c:pt>
                <c:pt idx="123">
                  <c:v>2.4785014289691585</c:v>
                </c:pt>
                <c:pt idx="124">
                  <c:v>2.4531066152060657</c:v>
                </c:pt>
                <c:pt idx="125">
                  <c:v>2.4110176030995527</c:v>
                </c:pt>
                <c:pt idx="126">
                  <c:v>2.4041214461491922</c:v>
                </c:pt>
                <c:pt idx="127">
                  <c:v>2.3305749403197322</c:v>
                </c:pt>
                <c:pt idx="128">
                  <c:v>2.4556789603572717</c:v>
                </c:pt>
                <c:pt idx="129">
                  <c:v>2.4738639023654412</c:v>
                </c:pt>
                <c:pt idx="130">
                  <c:v>2.4558195350995606</c:v>
                </c:pt>
                <c:pt idx="131">
                  <c:v>2.444995041882239</c:v>
                </c:pt>
                <c:pt idx="132">
                  <c:v>2.4092528535251878</c:v>
                </c:pt>
                <c:pt idx="133">
                  <c:v>2.3449940799757845</c:v>
                </c:pt>
                <c:pt idx="134">
                  <c:v>2.3810938654687366</c:v>
                </c:pt>
                <c:pt idx="135">
                  <c:v>2.4494665163809342</c:v>
                </c:pt>
                <c:pt idx="136">
                  <c:v>2.4728039275441631</c:v>
                </c:pt>
                <c:pt idx="137">
                  <c:v>2.4751644219438247</c:v>
                </c:pt>
                <c:pt idx="138">
                  <c:v>2.4724947657817422</c:v>
                </c:pt>
                <c:pt idx="139">
                  <c:v>2.4938635342915112</c:v>
                </c:pt>
                <c:pt idx="140">
                  <c:v>2.3845287273205904</c:v>
                </c:pt>
                <c:pt idx="141">
                  <c:v>2.3268526857640324</c:v>
                </c:pt>
                <c:pt idx="142">
                  <c:v>2.3558061559966363</c:v>
                </c:pt>
                <c:pt idx="143">
                  <c:v>2.3046727308497301</c:v>
                </c:pt>
                <c:pt idx="144">
                  <c:v>2.3579633240868971</c:v>
                </c:pt>
                <c:pt idx="145">
                  <c:v>2.3909234700812911</c:v>
                </c:pt>
                <c:pt idx="146">
                  <c:v>2.3324532862188585</c:v>
                </c:pt>
                <c:pt idx="147">
                  <c:v>2.3907657411703256</c:v>
                </c:pt>
                <c:pt idx="148">
                  <c:v>2.3469452885336604</c:v>
                </c:pt>
                <c:pt idx="149">
                  <c:v>2.3448112151534937</c:v>
                </c:pt>
                <c:pt idx="150">
                  <c:v>2.3349259842118344</c:v>
                </c:pt>
                <c:pt idx="151">
                  <c:v>2.2881374243298289</c:v>
                </c:pt>
                <c:pt idx="152">
                  <c:v>2.236922476430808</c:v>
                </c:pt>
                <c:pt idx="153">
                  <c:v>2.2694125149531597</c:v>
                </c:pt>
                <c:pt idx="154">
                  <c:v>2.2655433823321856</c:v>
                </c:pt>
                <c:pt idx="155">
                  <c:v>2.2735328430161301</c:v>
                </c:pt>
                <c:pt idx="156">
                  <c:v>2.2930368194524098</c:v>
                </c:pt>
                <c:pt idx="157">
                  <c:v>2.2799121977148227</c:v>
                </c:pt>
                <c:pt idx="158">
                  <c:v>2.2742830365739897</c:v>
                </c:pt>
                <c:pt idx="159">
                  <c:v>2.2746362397426534</c:v>
                </c:pt>
                <c:pt idx="160">
                  <c:v>2.2689984796445448</c:v>
                </c:pt>
                <c:pt idx="161">
                  <c:v>2.2430300087670814</c:v>
                </c:pt>
                <c:pt idx="162">
                  <c:v>2.2451590969994775</c:v>
                </c:pt>
                <c:pt idx="163">
                  <c:v>2.2130431925863352</c:v>
                </c:pt>
                <c:pt idx="164">
                  <c:v>2.1971824126608515</c:v>
                </c:pt>
                <c:pt idx="165">
                  <c:v>2.1377277982820666</c:v>
                </c:pt>
                <c:pt idx="166">
                  <c:v>2.1038711511413135</c:v>
                </c:pt>
                <c:pt idx="167">
                  <c:v>2.1061831869323684</c:v>
                </c:pt>
                <c:pt idx="168">
                  <c:v>2.1228862724663728</c:v>
                </c:pt>
                <c:pt idx="169">
                  <c:v>2.1122138335037519</c:v>
                </c:pt>
                <c:pt idx="170">
                  <c:v>2.1870603901783818</c:v>
                </c:pt>
                <c:pt idx="171">
                  <c:v>2.1551165266326811</c:v>
                </c:pt>
                <c:pt idx="172">
                  <c:v>2.1418766542234664</c:v>
                </c:pt>
                <c:pt idx="173">
                  <c:v>2.0892761871945922</c:v>
                </c:pt>
                <c:pt idx="174">
                  <c:v>1.9833827562074777</c:v>
                </c:pt>
                <c:pt idx="175">
                  <c:v>1.9937936762518544</c:v>
                </c:pt>
                <c:pt idx="176">
                  <c:v>1.9696137705503591</c:v>
                </c:pt>
                <c:pt idx="177">
                  <c:v>1.9941228815742253</c:v>
                </c:pt>
                <c:pt idx="178">
                  <c:v>1.9676977899541044</c:v>
                </c:pt>
                <c:pt idx="179">
                  <c:v>1.9305329663586428</c:v>
                </c:pt>
                <c:pt idx="180">
                  <c:v>1.8660178022790672</c:v>
                </c:pt>
                <c:pt idx="181">
                  <c:v>1.8306942373606239</c:v>
                </c:pt>
                <c:pt idx="182">
                  <c:v>1.7287290986348816</c:v>
                </c:pt>
                <c:pt idx="183">
                  <c:v>1.7625135033867916</c:v>
                </c:pt>
                <c:pt idx="184">
                  <c:v>1.7233811949599123</c:v>
                </c:pt>
                <c:pt idx="185">
                  <c:v>1.7420030447823804</c:v>
                </c:pt>
                <c:pt idx="186">
                  <c:v>1.8129692109065998</c:v>
                </c:pt>
                <c:pt idx="187">
                  <c:v>1.7889477547040771</c:v>
                </c:pt>
                <c:pt idx="188">
                  <c:v>1.7832995427491023</c:v>
                </c:pt>
                <c:pt idx="189">
                  <c:v>1.7939636835214501</c:v>
                </c:pt>
                <c:pt idx="190">
                  <c:v>1.8140040336296945</c:v>
                </c:pt>
                <c:pt idx="191">
                  <c:v>1.7851416509298386</c:v>
                </c:pt>
                <c:pt idx="192">
                  <c:v>1.9477553373947452</c:v>
                </c:pt>
                <c:pt idx="193">
                  <c:v>1.9712283835079305</c:v>
                </c:pt>
                <c:pt idx="194">
                  <c:v>2.0378945609657189</c:v>
                </c:pt>
                <c:pt idx="195">
                  <c:v>2.0157498901756576</c:v>
                </c:pt>
                <c:pt idx="196">
                  <c:v>2.0955932036602687</c:v>
                </c:pt>
                <c:pt idx="197">
                  <c:v>2.1302468073541387</c:v>
                </c:pt>
                <c:pt idx="198">
                  <c:v>2.1236824664837917</c:v>
                </c:pt>
                <c:pt idx="199">
                  <c:v>2.1524474199148922</c:v>
                </c:pt>
                <c:pt idx="200">
                  <c:v>2.1739786272312305</c:v>
                </c:pt>
                <c:pt idx="201">
                  <c:v>2.1800084458883413</c:v>
                </c:pt>
                <c:pt idx="202">
                  <c:v>2.1836949003337267</c:v>
                </c:pt>
                <c:pt idx="203">
                  <c:v>2.2127999319914085</c:v>
                </c:pt>
                <c:pt idx="204">
                  <c:v>2.046872488034134</c:v>
                </c:pt>
                <c:pt idx="205">
                  <c:v>2.0210465764797791</c:v>
                </c:pt>
                <c:pt idx="206">
                  <c:v>2.0013519458663538</c:v>
                </c:pt>
                <c:pt idx="207">
                  <c:v>1.9262692949608438</c:v>
                </c:pt>
                <c:pt idx="208">
                  <c:v>1.8645028526642686</c:v>
                </c:pt>
                <c:pt idx="209">
                  <c:v>1.8713129222891405</c:v>
                </c:pt>
                <c:pt idx="210">
                  <c:v>2.3051888741721434</c:v>
                </c:pt>
                <c:pt idx="211">
                  <c:v>2.2602099816369856</c:v>
                </c:pt>
                <c:pt idx="212">
                  <c:v>2.2295560827103191</c:v>
                </c:pt>
                <c:pt idx="213">
                  <c:v>2.1847095253143332</c:v>
                </c:pt>
                <c:pt idx="214">
                  <c:v>2.1060889919306889</c:v>
                </c:pt>
                <c:pt idx="215">
                  <c:v>2.0480179561542045</c:v>
                </c:pt>
                <c:pt idx="216">
                  <c:v>2.2077549040950979</c:v>
                </c:pt>
                <c:pt idx="217">
                  <c:v>2.2153106344610087</c:v>
                </c:pt>
                <c:pt idx="218">
                  <c:v>2.131578394847562</c:v>
                </c:pt>
                <c:pt idx="219">
                  <c:v>2.1171508467564624</c:v>
                </c:pt>
                <c:pt idx="220">
                  <c:v>2.0879394437728847</c:v>
                </c:pt>
                <c:pt idx="221">
                  <c:v>2.0165885336721492</c:v>
                </c:pt>
                <c:pt idx="222">
                  <c:v>1.5470861090371899</c:v>
                </c:pt>
                <c:pt idx="223">
                  <c:v>1.5279513857814624</c:v>
                </c:pt>
                <c:pt idx="224">
                  <c:v>1.473462828626166</c:v>
                </c:pt>
                <c:pt idx="225">
                  <c:v>1.4082493474907067</c:v>
                </c:pt>
                <c:pt idx="226">
                  <c:v>1.4280936030211644</c:v>
                </c:pt>
                <c:pt idx="227">
                  <c:v>1.4205466480227216</c:v>
                </c:pt>
                <c:pt idx="228">
                  <c:v>1.3982409954098909</c:v>
                </c:pt>
                <c:pt idx="229">
                  <c:v>1.3642871257242191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D9-4B1A-9DFE-06F042C673D5}"/>
            </c:ext>
          </c:extLst>
        </c:ser>
        <c:ser>
          <c:idx val="1"/>
          <c:order val="1"/>
          <c:tx>
            <c:strRef>
              <c:f>'G2.5A'!$I$2</c:f>
              <c:strCache>
                <c:ptCount val="1"/>
                <c:pt idx="0">
                  <c:v>ROA promedio cinco años</c:v>
                </c:pt>
              </c:strCache>
            </c:strRef>
          </c:tx>
          <c:spPr>
            <a:ln>
              <a:solidFill>
                <a:srgbClr val="E7B200"/>
              </a:solidFill>
              <a:prstDash val="sysDot"/>
            </a:ln>
          </c:spPr>
          <c:marker>
            <c:symbol val="none"/>
          </c:marker>
          <c:dLbls>
            <c:dLbl>
              <c:idx val="22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'G2.5A'!$A$3:$A$500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</c:numCache>
            </c:numRef>
          </c:cat>
          <c:val>
            <c:numRef>
              <c:f>'G2.5A'!$I$3:$I$500</c:f>
              <c:numCache>
                <c:formatCode>0.0</c:formatCode>
                <c:ptCount val="498"/>
                <c:pt idx="170">
                  <c:v>1.9379764437467331</c:v>
                </c:pt>
                <c:pt idx="171">
                  <c:v>1.9379764437467331</c:v>
                </c:pt>
                <c:pt idx="172">
                  <c:v>1.9379764437467331</c:v>
                </c:pt>
                <c:pt idx="173">
                  <c:v>1.9379764437467331</c:v>
                </c:pt>
                <c:pt idx="174">
                  <c:v>1.9379764437467331</c:v>
                </c:pt>
                <c:pt idx="175">
                  <c:v>1.9379764437467331</c:v>
                </c:pt>
                <c:pt idx="176">
                  <c:v>1.9379764437467331</c:v>
                </c:pt>
                <c:pt idx="177">
                  <c:v>1.9379764437467331</c:v>
                </c:pt>
                <c:pt idx="178">
                  <c:v>1.9379764437467331</c:v>
                </c:pt>
                <c:pt idx="179">
                  <c:v>1.9379764437467331</c:v>
                </c:pt>
                <c:pt idx="180">
                  <c:v>1.9379764437467331</c:v>
                </c:pt>
                <c:pt idx="181">
                  <c:v>1.9379764437467331</c:v>
                </c:pt>
                <c:pt idx="182">
                  <c:v>1.9379764437467331</c:v>
                </c:pt>
                <c:pt idx="183">
                  <c:v>1.9379764437467331</c:v>
                </c:pt>
                <c:pt idx="184">
                  <c:v>1.9379764437467331</c:v>
                </c:pt>
                <c:pt idx="185">
                  <c:v>1.9379764437467331</c:v>
                </c:pt>
                <c:pt idx="186">
                  <c:v>1.9379764437467331</c:v>
                </c:pt>
                <c:pt idx="187">
                  <c:v>1.9379764437467331</c:v>
                </c:pt>
                <c:pt idx="188">
                  <c:v>1.9379764437467331</c:v>
                </c:pt>
                <c:pt idx="189">
                  <c:v>1.9379764437467331</c:v>
                </c:pt>
                <c:pt idx="190">
                  <c:v>1.9379764437467331</c:v>
                </c:pt>
                <c:pt idx="191">
                  <c:v>1.9379764437467331</c:v>
                </c:pt>
                <c:pt idx="192">
                  <c:v>1.9379764437467331</c:v>
                </c:pt>
                <c:pt idx="193">
                  <c:v>1.9379764437467331</c:v>
                </c:pt>
                <c:pt idx="194">
                  <c:v>1.9379764437467331</c:v>
                </c:pt>
                <c:pt idx="195">
                  <c:v>1.9379764437467331</c:v>
                </c:pt>
                <c:pt idx="196">
                  <c:v>1.9379764437467331</c:v>
                </c:pt>
                <c:pt idx="197">
                  <c:v>1.9379764437467331</c:v>
                </c:pt>
                <c:pt idx="198">
                  <c:v>1.9379764437467331</c:v>
                </c:pt>
                <c:pt idx="199">
                  <c:v>1.9379764437467331</c:v>
                </c:pt>
                <c:pt idx="200">
                  <c:v>1.9379764437467331</c:v>
                </c:pt>
                <c:pt idx="201">
                  <c:v>1.9379764437467331</c:v>
                </c:pt>
                <c:pt idx="202">
                  <c:v>1.9379764437467331</c:v>
                </c:pt>
                <c:pt idx="203">
                  <c:v>1.9379764437467331</c:v>
                </c:pt>
                <c:pt idx="204">
                  <c:v>1.9379764437467331</c:v>
                </c:pt>
                <c:pt idx="205">
                  <c:v>1.9379764437467331</c:v>
                </c:pt>
                <c:pt idx="206">
                  <c:v>1.9379764437467331</c:v>
                </c:pt>
                <c:pt idx="207">
                  <c:v>1.9379764437467331</c:v>
                </c:pt>
                <c:pt idx="208">
                  <c:v>1.9379764437467331</c:v>
                </c:pt>
                <c:pt idx="209">
                  <c:v>1.9379764437467331</c:v>
                </c:pt>
                <c:pt idx="210">
                  <c:v>1.9379764437467331</c:v>
                </c:pt>
                <c:pt idx="211">
                  <c:v>1.9379764437467331</c:v>
                </c:pt>
                <c:pt idx="212">
                  <c:v>1.9379764437467331</c:v>
                </c:pt>
                <c:pt idx="213">
                  <c:v>1.9379764437467331</c:v>
                </c:pt>
                <c:pt idx="214">
                  <c:v>1.9379764437467331</c:v>
                </c:pt>
                <c:pt idx="215">
                  <c:v>1.9379764437467331</c:v>
                </c:pt>
                <c:pt idx="216">
                  <c:v>1.9379764437467331</c:v>
                </c:pt>
                <c:pt idx="217">
                  <c:v>1.9379764437467331</c:v>
                </c:pt>
                <c:pt idx="218">
                  <c:v>1.9379764437467331</c:v>
                </c:pt>
                <c:pt idx="219">
                  <c:v>1.9379764437467331</c:v>
                </c:pt>
                <c:pt idx="220">
                  <c:v>1.9379764437467331</c:v>
                </c:pt>
                <c:pt idx="221">
                  <c:v>1.9379764437467331</c:v>
                </c:pt>
                <c:pt idx="222">
                  <c:v>1.9379764437467331</c:v>
                </c:pt>
                <c:pt idx="223">
                  <c:v>1.9379764437467331</c:v>
                </c:pt>
                <c:pt idx="224">
                  <c:v>1.9379764437467331</c:v>
                </c:pt>
                <c:pt idx="225">
                  <c:v>1.9379764437467331</c:v>
                </c:pt>
                <c:pt idx="226">
                  <c:v>1.9379764437467331</c:v>
                </c:pt>
                <c:pt idx="227">
                  <c:v>1.9379764437467331</c:v>
                </c:pt>
                <c:pt idx="228">
                  <c:v>1.9379764437467331</c:v>
                </c:pt>
                <c:pt idx="229">
                  <c:v>1.9379764437467331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4D9-4B1A-9DFE-06F042C67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433936"/>
        <c:axId val="245610768"/>
      </c:lineChart>
      <c:dateAx>
        <c:axId val="104433936"/>
        <c:scaling>
          <c:orientation val="minMax"/>
          <c:min val="3762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245610768"/>
        <c:crosses val="autoZero"/>
        <c:auto val="1"/>
        <c:lblOffset val="100"/>
        <c:baseTimeUnit val="months"/>
        <c:majorUnit val="3"/>
        <c:majorTimeUnit val="years"/>
        <c:minorUnit val="2"/>
        <c:minorTimeUnit val="years"/>
      </c:dateAx>
      <c:valAx>
        <c:axId val="245610768"/>
        <c:scaling>
          <c:orientation val="minMax"/>
          <c:max val="4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401019339464635E-3"/>
              <c:y val="1.7080688651642615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04433936"/>
        <c:crosses val="autoZero"/>
        <c:crossBetween val="midCat"/>
        <c:minorUnit val="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256410256410256"/>
          <c:y val="0.88421829712764688"/>
          <c:w val="0.73128205128205126"/>
          <c:h val="8.890089502334400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527795</xdr:colOff>
      <xdr:row>4</xdr:row>
      <xdr:rowOff>11205</xdr:rowOff>
    </xdr:from>
    <xdr:to>
      <xdr:col>10</xdr:col>
      <xdr:colOff>592230</xdr:colOff>
      <xdr:row>22</xdr:row>
      <xdr:rowOff>119341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85724</xdr:colOff>
      <xdr:row>2</xdr:row>
      <xdr:rowOff>16564</xdr:rowOff>
    </xdr:from>
    <xdr:to>
      <xdr:col>13</xdr:col>
      <xdr:colOff>99391</xdr:colOff>
      <xdr:row>17</xdr:row>
      <xdr:rowOff>12699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146977</xdr:colOff>
      <xdr:row>7</xdr:row>
      <xdr:rowOff>59308</xdr:rowOff>
    </xdr:from>
    <xdr:to>
      <xdr:col>26</xdr:col>
      <xdr:colOff>679257</xdr:colOff>
      <xdr:row>27</xdr:row>
      <xdr:rowOff>11682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682110</xdr:colOff>
      <xdr:row>7</xdr:row>
      <xdr:rowOff>56030</xdr:rowOff>
    </xdr:from>
    <xdr:to>
      <xdr:col>31</xdr:col>
      <xdr:colOff>331103</xdr:colOff>
      <xdr:row>26</xdr:row>
      <xdr:rowOff>27169</xdr:rowOff>
    </xdr:to>
    <xdr:graphicFrame macro="">
      <xdr:nvGraphicFramePr>
        <xdr:cNvPr id="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33615</xdr:colOff>
      <xdr:row>2</xdr:row>
      <xdr:rowOff>231402</xdr:rowOff>
    </xdr:from>
    <xdr:to>
      <xdr:col>22</xdr:col>
      <xdr:colOff>974911</xdr:colOff>
      <xdr:row>28</xdr:row>
      <xdr:rowOff>56029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649941</xdr:colOff>
      <xdr:row>9</xdr:row>
      <xdr:rowOff>112060</xdr:rowOff>
    </xdr:from>
    <xdr:to>
      <xdr:col>14</xdr:col>
      <xdr:colOff>224117</xdr:colOff>
      <xdr:row>21</xdr:row>
      <xdr:rowOff>177615</xdr:rowOff>
    </xdr:to>
    <xdr:sp macro="" textlink="">
      <xdr:nvSpPr>
        <xdr:cNvPr id="2" name="Rectángulo 1"/>
        <xdr:cNvSpPr/>
      </xdr:nvSpPr>
      <xdr:spPr>
        <a:xfrm>
          <a:off x="11418794" y="2297207"/>
          <a:ext cx="336176" cy="2620496"/>
        </a:xfrm>
        <a:prstGeom prst="rect">
          <a:avLst/>
        </a:prstGeom>
        <a:solidFill>
          <a:srgbClr val="F0DCD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</xdr:col>
      <xdr:colOff>161364</xdr:colOff>
      <xdr:row>8</xdr:row>
      <xdr:rowOff>50427</xdr:rowOff>
    </xdr:from>
    <xdr:to>
      <xdr:col>14</xdr:col>
      <xdr:colOff>589989</xdr:colOff>
      <xdr:row>24</xdr:row>
      <xdr:rowOff>204722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141195</xdr:colOff>
      <xdr:row>8</xdr:row>
      <xdr:rowOff>144556</xdr:rowOff>
    </xdr:from>
    <xdr:to>
      <xdr:col>19</xdr:col>
      <xdr:colOff>703170</xdr:colOff>
      <xdr:row>24</xdr:row>
      <xdr:rowOff>201705</xdr:rowOff>
    </xdr:to>
    <xdr:graphicFrame macro="">
      <xdr:nvGraphicFramePr>
        <xdr:cNvPr id="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0.85798</cdr:x>
      <cdr:y>0.0812</cdr:y>
    </cdr:from>
    <cdr:to>
      <cdr:x>1</cdr:x>
      <cdr:y>0.16208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097304" y="281269"/>
          <a:ext cx="512671" cy="280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000" b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12,3</a:t>
          </a:r>
        </a:p>
      </cdr:txBody>
    </cdr:sp>
  </cdr:relSizeAnchor>
  <cdr:relSizeAnchor xmlns:cdr="http://schemas.openxmlformats.org/drawingml/2006/chartDrawing">
    <cdr:from>
      <cdr:x>0.85798</cdr:x>
      <cdr:y>0.1376</cdr:y>
    </cdr:from>
    <cdr:to>
      <cdr:x>1</cdr:x>
      <cdr:y>0.21848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097304" y="476624"/>
          <a:ext cx="512671" cy="280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 b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12,0</a:t>
          </a:r>
        </a:p>
      </cdr:txBody>
    </cdr:sp>
  </cdr:relSizeAnchor>
  <cdr:relSizeAnchor xmlns:cdr="http://schemas.openxmlformats.org/drawingml/2006/chartDrawing">
    <cdr:from>
      <cdr:x>0.85798</cdr:x>
      <cdr:y>0.25084</cdr:y>
    </cdr:from>
    <cdr:to>
      <cdr:x>1</cdr:x>
      <cdr:y>0.33172</cdr:y>
    </cdr:to>
    <cdr:sp macro="" textlink="">
      <cdr:nvSpPr>
        <cdr:cNvPr id="4" name="CuadroTexto 1"/>
        <cdr:cNvSpPr txBox="1"/>
      </cdr:nvSpPr>
      <cdr:spPr>
        <a:xfrm xmlns:a="http://schemas.openxmlformats.org/drawingml/2006/main">
          <a:off x="3097304" y="868830"/>
          <a:ext cx="512671" cy="280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10,3</a:t>
          </a:r>
        </a:p>
      </cdr:txBody>
    </cdr:sp>
  </cdr:relSizeAnchor>
  <cdr:relSizeAnchor xmlns:cdr="http://schemas.openxmlformats.org/drawingml/2006/chartDrawing">
    <cdr:from>
      <cdr:x>0.85798</cdr:x>
      <cdr:y>0.34002</cdr:y>
    </cdr:from>
    <cdr:to>
      <cdr:x>1</cdr:x>
      <cdr:y>0.41583</cdr:y>
    </cdr:to>
    <cdr:sp macro="" textlink="">
      <cdr:nvSpPr>
        <cdr:cNvPr id="5" name="CuadroTexto 1"/>
        <cdr:cNvSpPr txBox="1"/>
      </cdr:nvSpPr>
      <cdr:spPr>
        <a:xfrm xmlns:a="http://schemas.openxmlformats.org/drawingml/2006/main">
          <a:off x="3097304" y="1177738"/>
          <a:ext cx="512671" cy="2625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9,0</a:t>
          </a:r>
        </a:p>
      </cdr:txBody>
    </cdr:sp>
  </cdr:relSizeAnchor>
  <cdr:relSizeAnchor xmlns:cdr="http://schemas.openxmlformats.org/drawingml/2006/chartDrawing">
    <cdr:from>
      <cdr:x>0.85798</cdr:x>
      <cdr:y>0.57436</cdr:y>
    </cdr:from>
    <cdr:to>
      <cdr:x>1</cdr:x>
      <cdr:y>0.65524</cdr:y>
    </cdr:to>
    <cdr:sp macro="" textlink="">
      <cdr:nvSpPr>
        <cdr:cNvPr id="6" name="CuadroTexto 1"/>
        <cdr:cNvSpPr txBox="1"/>
      </cdr:nvSpPr>
      <cdr:spPr>
        <a:xfrm xmlns:a="http://schemas.openxmlformats.org/drawingml/2006/main">
          <a:off x="3097304" y="1989418"/>
          <a:ext cx="512671" cy="280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5,6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34178</xdr:colOff>
      <xdr:row>7</xdr:row>
      <xdr:rowOff>168088</xdr:rowOff>
    </xdr:from>
    <xdr:to>
      <xdr:col>28</xdr:col>
      <xdr:colOff>358178</xdr:colOff>
      <xdr:row>19</xdr:row>
      <xdr:rowOff>31376</xdr:rowOff>
    </xdr:to>
    <xdr:sp macro="" textlink="">
      <xdr:nvSpPr>
        <xdr:cNvPr id="2" name="Rectángulo 1"/>
        <xdr:cNvSpPr/>
      </xdr:nvSpPr>
      <xdr:spPr>
        <a:xfrm>
          <a:off x="23409649" y="2106706"/>
          <a:ext cx="324000" cy="2418229"/>
        </a:xfrm>
        <a:prstGeom prst="rect">
          <a:avLst/>
        </a:prstGeom>
        <a:solidFill>
          <a:srgbClr val="F0DCD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43142</xdr:colOff>
      <xdr:row>5</xdr:row>
      <xdr:rowOff>78441</xdr:rowOff>
    </xdr:from>
    <xdr:to>
      <xdr:col>28</xdr:col>
      <xdr:colOff>692275</xdr:colOff>
      <xdr:row>23</xdr:row>
      <xdr:rowOff>84666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554381</xdr:colOff>
      <xdr:row>6</xdr:row>
      <xdr:rowOff>18614</xdr:rowOff>
    </xdr:from>
    <xdr:to>
      <xdr:col>34</xdr:col>
      <xdr:colOff>212912</xdr:colOff>
      <xdr:row>22</xdr:row>
      <xdr:rowOff>145676</xdr:rowOff>
    </xdr:to>
    <xdr:graphicFrame macro="">
      <xdr:nvGraphicFramePr>
        <xdr:cNvPr id="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210526</xdr:colOff>
      <xdr:row>6</xdr:row>
      <xdr:rowOff>170962</xdr:rowOff>
    </xdr:from>
    <xdr:to>
      <xdr:col>18</xdr:col>
      <xdr:colOff>258151</xdr:colOff>
      <xdr:row>23</xdr:row>
      <xdr:rowOff>88272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106330</xdr:colOff>
      <xdr:row>29</xdr:row>
      <xdr:rowOff>97194</xdr:rowOff>
    </xdr:from>
    <xdr:to>
      <xdr:col>18</xdr:col>
      <xdr:colOff>496855</xdr:colOff>
      <xdr:row>46</xdr:row>
      <xdr:rowOff>5637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263110</xdr:colOff>
      <xdr:row>4</xdr:row>
      <xdr:rowOff>108847</xdr:rowOff>
    </xdr:from>
    <xdr:to>
      <xdr:col>14</xdr:col>
      <xdr:colOff>186911</xdr:colOff>
      <xdr:row>20</xdr:row>
      <xdr:rowOff>123135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EFI/REF/2018-I/Foto/Gr&#225;ficas%20Foto%202018%20-%20I%20(IPC%20sin%20alimento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"/>
      <sheetName val="Pasivo y Patrimonio"/>
      <sheetName val="Cartera_Bruta"/>
      <sheetName val="Inversiones"/>
      <sheetName val="Composición_Activo"/>
      <sheetName val="Cartera_Riesgosa"/>
      <sheetName val="ICR"/>
      <sheetName val="Cartera_Vencida"/>
      <sheetName val="ICM"/>
      <sheetName val="ROA_ROE"/>
      <sheetName val="Solvencia"/>
      <sheetName val="Tasa_implícita"/>
      <sheetName val="Margen_expost"/>
      <sheetName val="Margen_exante"/>
      <sheetName val="Composición_inversiones"/>
      <sheetName val="Composición_pasivos"/>
      <sheetName val="Composición_activos"/>
      <sheetName val="Profundización"/>
      <sheetName val="Vencida_Provisiones"/>
    </sheetNames>
    <sheetDataSet>
      <sheetData sheetId="0"/>
      <sheetData sheetId="1"/>
      <sheetData sheetId="2">
        <row r="4">
          <cell r="J4" t="str">
            <v>Comercial</v>
          </cell>
        </row>
        <row r="5">
          <cell r="B5">
            <v>69.948976426642702</v>
          </cell>
          <cell r="C5">
            <v>24.0720992465873</v>
          </cell>
          <cell r="D5">
            <v>39.354812354674898</v>
          </cell>
          <cell r="G5">
            <v>133.37588802790501</v>
          </cell>
        </row>
        <row r="6">
          <cell r="B6">
            <v>68.758746182974591</v>
          </cell>
          <cell r="C6">
            <v>24.412652307097598</v>
          </cell>
          <cell r="D6">
            <v>38.738966299531306</v>
          </cell>
          <cell r="G6">
            <v>131.91036478960299</v>
          </cell>
        </row>
        <row r="7">
          <cell r="B7">
            <v>66.039976205187003</v>
          </cell>
          <cell r="C7">
            <v>23.599174709549899</v>
          </cell>
          <cell r="D7">
            <v>38.4850918377387</v>
          </cell>
          <cell r="G7">
            <v>128.12424275247599</v>
          </cell>
        </row>
        <row r="8">
          <cell r="B8">
            <v>65.456654329828396</v>
          </cell>
          <cell r="C8">
            <v>22.847999642870398</v>
          </cell>
          <cell r="D8">
            <v>38.294405743487999</v>
          </cell>
          <cell r="G8">
            <v>126.599059716187</v>
          </cell>
        </row>
        <row r="9">
          <cell r="B9">
            <v>64.575244397547792</v>
          </cell>
          <cell r="C9">
            <v>22.397613215879101</v>
          </cell>
          <cell r="D9">
            <v>37.864354131618597</v>
          </cell>
          <cell r="G9">
            <v>124.837211745045</v>
          </cell>
        </row>
        <row r="10">
          <cell r="B10">
            <v>64.272078667736196</v>
          </cell>
          <cell r="C10">
            <v>21.6853802841472</v>
          </cell>
          <cell r="D10">
            <v>37.772000564209996</v>
          </cell>
          <cell r="G10">
            <v>123.729459516093</v>
          </cell>
        </row>
        <row r="11">
          <cell r="B11">
            <v>63.647146084338097</v>
          </cell>
          <cell r="C11">
            <v>20.2142454465341</v>
          </cell>
          <cell r="D11">
            <v>37.639512910316903</v>
          </cell>
          <cell r="G11">
            <v>121.50090444118899</v>
          </cell>
        </row>
        <row r="12">
          <cell r="B12">
            <v>64.25524716308071</v>
          </cell>
          <cell r="C12">
            <v>19.142936021553201</v>
          </cell>
          <cell r="D12">
            <v>37.300853684044704</v>
          </cell>
          <cell r="G12">
            <v>120.699036868679</v>
          </cell>
        </row>
        <row r="13">
          <cell r="B13">
            <v>63.337273507357004</v>
          </cell>
          <cell r="C13">
            <v>18.3750072726416</v>
          </cell>
          <cell r="D13">
            <v>36.995701627559598</v>
          </cell>
          <cell r="G13">
            <v>118.70798240755799</v>
          </cell>
        </row>
        <row r="14">
          <cell r="B14">
            <v>64.784475036352902</v>
          </cell>
          <cell r="C14">
            <v>17.899051583685903</v>
          </cell>
          <cell r="D14">
            <v>37.325189522711703</v>
          </cell>
          <cell r="G14">
            <v>120.00871614275</v>
          </cell>
        </row>
        <row r="15">
          <cell r="B15">
            <v>63.518043816395</v>
          </cell>
          <cell r="C15">
            <v>17.455922856630401</v>
          </cell>
          <cell r="D15">
            <v>36.641289877859499</v>
          </cell>
          <cell r="G15">
            <v>117.61525655088499</v>
          </cell>
        </row>
        <row r="16">
          <cell r="B16">
            <v>63.986514428176598</v>
          </cell>
          <cell r="C16">
            <v>17.2765319667905</v>
          </cell>
          <cell r="D16">
            <v>36.844059420924502</v>
          </cell>
          <cell r="G16">
            <v>118.107105815892</v>
          </cell>
        </row>
        <row r="17">
          <cell r="B17">
            <v>63.363055071592598</v>
          </cell>
          <cell r="C17">
            <v>15.9994439005107</v>
          </cell>
          <cell r="D17">
            <v>36.926362029663899</v>
          </cell>
          <cell r="G17">
            <v>116.288861001767</v>
          </cell>
        </row>
        <row r="18">
          <cell r="B18">
            <v>61.945876484702104</v>
          </cell>
          <cell r="C18">
            <v>15.9043200762148</v>
          </cell>
          <cell r="D18">
            <v>35.096094333684796</v>
          </cell>
          <cell r="G18">
            <v>112.946290894602</v>
          </cell>
        </row>
        <row r="19">
          <cell r="B19">
            <v>58.817913337161798</v>
          </cell>
          <cell r="C19">
            <v>15.0531329078068</v>
          </cell>
          <cell r="D19">
            <v>32.8928234886992</v>
          </cell>
          <cell r="G19">
            <v>106.763869733668</v>
          </cell>
        </row>
        <row r="20">
          <cell r="B20">
            <v>57.748930969875801</v>
          </cell>
          <cell r="C20">
            <v>14.5740735354624</v>
          </cell>
          <cell r="D20">
            <v>31.5850350265301</v>
          </cell>
          <cell r="G20">
            <v>103.908039531868</v>
          </cell>
        </row>
        <row r="21">
          <cell r="B21">
            <v>57.207339612457098</v>
          </cell>
          <cell r="C21">
            <v>14.4539077854147</v>
          </cell>
          <cell r="D21">
            <v>31.463084142369802</v>
          </cell>
          <cell r="G21">
            <v>103.12433154024201</v>
          </cell>
        </row>
        <row r="22">
          <cell r="B22">
            <v>57.229946177306701</v>
          </cell>
          <cell r="C22">
            <v>14.4502745718573</v>
          </cell>
          <cell r="D22">
            <v>31.308231683931702</v>
          </cell>
          <cell r="G22">
            <v>102.98845243309599</v>
          </cell>
        </row>
        <row r="23">
          <cell r="B23">
            <v>57.011254961110701</v>
          </cell>
          <cell r="C23">
            <v>14.5674054563793</v>
          </cell>
          <cell r="D23">
            <v>31.0422545834567</v>
          </cell>
          <cell r="G23">
            <v>102.62091500094701</v>
          </cell>
        </row>
        <row r="24">
          <cell r="B24">
            <v>56.505281898905601</v>
          </cell>
          <cell r="C24">
            <v>14.6651061486233</v>
          </cell>
          <cell r="D24">
            <v>30.716220130039797</v>
          </cell>
          <cell r="G24">
            <v>101.886608177569</v>
          </cell>
        </row>
        <row r="25">
          <cell r="B25">
            <v>57.012864748230697</v>
          </cell>
          <cell r="C25">
            <v>14.7485413278661</v>
          </cell>
          <cell r="D25">
            <v>28.5545852373663</v>
          </cell>
          <cell r="G25">
            <v>100.315991313463</v>
          </cell>
        </row>
        <row r="26">
          <cell r="B26">
            <v>57.133988491785104</v>
          </cell>
          <cell r="C26">
            <v>14.594887015417999</v>
          </cell>
          <cell r="D26">
            <v>28.612610736471296</v>
          </cell>
          <cell r="G26">
            <v>100.341486243674</v>
          </cell>
        </row>
        <row r="27">
          <cell r="B27">
            <v>56.154155951125098</v>
          </cell>
          <cell r="C27">
            <v>14.2935566570061</v>
          </cell>
          <cell r="D27">
            <v>27.776235245254398</v>
          </cell>
          <cell r="G27">
            <v>98.223947853385695</v>
          </cell>
        </row>
        <row r="28">
          <cell r="B28">
            <v>56.158486435676906</v>
          </cell>
          <cell r="C28">
            <v>14.275220182846201</v>
          </cell>
          <cell r="D28">
            <v>27.5535857207358</v>
          </cell>
          <cell r="G28">
            <v>97.9872923392589</v>
          </cell>
        </row>
        <row r="29">
          <cell r="B29">
            <v>56.866417286735299</v>
          </cell>
          <cell r="C29">
            <v>14.054323594996299</v>
          </cell>
          <cell r="D29">
            <v>27.228259601714697</v>
          </cell>
          <cell r="G29">
            <v>98.149000483446301</v>
          </cell>
        </row>
        <row r="30">
          <cell r="B30">
            <v>55.7856564141631</v>
          </cell>
          <cell r="C30">
            <v>14.018340838583299</v>
          </cell>
          <cell r="D30">
            <v>26.911666361713902</v>
          </cell>
          <cell r="G30">
            <v>96.715663614460297</v>
          </cell>
        </row>
        <row r="31">
          <cell r="B31">
            <v>55.182241904703695</v>
          </cell>
          <cell r="C31">
            <v>13.9643416734878</v>
          </cell>
          <cell r="D31">
            <v>26.456183541483298</v>
          </cell>
          <cell r="G31">
            <v>95.602767119674809</v>
          </cell>
        </row>
        <row r="32">
          <cell r="B32">
            <v>54.733405726926698</v>
          </cell>
          <cell r="C32">
            <v>13.642598927003599</v>
          </cell>
          <cell r="D32">
            <v>26.270738162297299</v>
          </cell>
          <cell r="G32">
            <v>94.6467428162277</v>
          </cell>
        </row>
        <row r="33">
          <cell r="B33">
            <v>53.739313673651097</v>
          </cell>
          <cell r="C33">
            <v>13.447675201291599</v>
          </cell>
          <cell r="D33">
            <v>25.8576381113824</v>
          </cell>
          <cell r="G33">
            <v>93.044626986325099</v>
          </cell>
        </row>
        <row r="34">
          <cell r="B34">
            <v>53.660166348920697</v>
          </cell>
          <cell r="C34">
            <v>13.5722352913302</v>
          </cell>
          <cell r="D34">
            <v>26.006926046191602</v>
          </cell>
          <cell r="G34">
            <v>93.239327686442508</v>
          </cell>
        </row>
        <row r="35">
          <cell r="B35">
            <v>54.319800072800696</v>
          </cell>
          <cell r="C35">
            <v>13.564908915447901</v>
          </cell>
          <cell r="D35">
            <v>25.9214332082203</v>
          </cell>
          <cell r="G35">
            <v>93.806142196468898</v>
          </cell>
        </row>
        <row r="36">
          <cell r="B36">
            <v>53.860045181443702</v>
          </cell>
          <cell r="C36">
            <v>13.709914849432399</v>
          </cell>
          <cell r="D36">
            <v>25.815080287823001</v>
          </cell>
          <cell r="G36">
            <v>93.385040318699097</v>
          </cell>
        </row>
        <row r="37">
          <cell r="B37">
            <v>53.834805358533799</v>
          </cell>
          <cell r="C37">
            <v>13.7498132874678</v>
          </cell>
          <cell r="D37">
            <v>25.5676477827718</v>
          </cell>
          <cell r="G37">
            <v>93.152266428773402</v>
          </cell>
        </row>
        <row r="38">
          <cell r="B38">
            <v>53.823662278991499</v>
          </cell>
          <cell r="C38">
            <v>13.8767470001969</v>
          </cell>
          <cell r="D38">
            <v>25.352601150797501</v>
          </cell>
          <cell r="G38">
            <v>93.053010429985903</v>
          </cell>
        </row>
        <row r="39">
          <cell r="B39">
            <v>53.822859193027497</v>
          </cell>
          <cell r="C39">
            <v>14.110436689510099</v>
          </cell>
          <cell r="D39">
            <v>25.104125632949</v>
          </cell>
          <cell r="G39">
            <v>93.037421515486599</v>
          </cell>
        </row>
        <row r="40">
          <cell r="B40">
            <v>53.971708235898099</v>
          </cell>
          <cell r="C40">
            <v>14.6297273954298</v>
          </cell>
          <cell r="D40">
            <v>24.9349256888318</v>
          </cell>
          <cell r="G40">
            <v>93.536361320159699</v>
          </cell>
        </row>
        <row r="41">
          <cell r="B41">
            <v>53.509752926720395</v>
          </cell>
          <cell r="C41">
            <v>14.697555778073601</v>
          </cell>
          <cell r="D41">
            <v>24.7147041066391</v>
          </cell>
          <cell r="G41">
            <v>92.922012811433106</v>
          </cell>
        </row>
        <row r="42">
          <cell r="B42">
            <v>53.881691822376297</v>
          </cell>
          <cell r="C42">
            <v>13.1306806166039</v>
          </cell>
          <cell r="D42">
            <v>24.117185662857601</v>
          </cell>
          <cell r="F42">
            <v>0.205264438641973</v>
          </cell>
          <cell r="G42">
            <v>91.334822540479792</v>
          </cell>
        </row>
        <row r="43">
          <cell r="B43">
            <v>53.722056886383299</v>
          </cell>
          <cell r="C43">
            <v>13.112632912448699</v>
          </cell>
          <cell r="D43">
            <v>23.776881305022201</v>
          </cell>
          <cell r="F43">
            <v>0.20239994980509299</v>
          </cell>
          <cell r="G43">
            <v>90.813971053659301</v>
          </cell>
        </row>
        <row r="44">
          <cell r="B44">
            <v>53.551187767095399</v>
          </cell>
          <cell r="C44">
            <v>12.7424036335011</v>
          </cell>
          <cell r="D44">
            <v>23.6020061232561</v>
          </cell>
          <cell r="F44">
            <v>0.25513166608903398</v>
          </cell>
          <cell r="G44">
            <v>90.1507291899417</v>
          </cell>
        </row>
        <row r="45">
          <cell r="B45">
            <v>53.0705408550673</v>
          </cell>
          <cell r="C45">
            <v>12.851557563926901</v>
          </cell>
          <cell r="D45">
            <v>23.383278856011298</v>
          </cell>
          <cell r="F45">
            <v>0.25644059466651697</v>
          </cell>
          <cell r="G45">
            <v>89.561817869671998</v>
          </cell>
        </row>
        <row r="46">
          <cell r="B46">
            <v>52.752335977680602</v>
          </cell>
          <cell r="C46">
            <v>13.2497338960041</v>
          </cell>
          <cell r="D46">
            <v>22.778470533420702</v>
          </cell>
          <cell r="F46">
            <v>0.25720242726827403</v>
          </cell>
          <cell r="G46">
            <v>89.037742834373603</v>
          </cell>
        </row>
        <row r="47">
          <cell r="B47">
            <v>53.507672555518205</v>
          </cell>
          <cell r="C47">
            <v>13.2517093663309</v>
          </cell>
          <cell r="D47">
            <v>22.626179791255201</v>
          </cell>
          <cell r="F47">
            <v>0.25378706101959403</v>
          </cell>
          <cell r="G47">
            <v>89.639348774123903</v>
          </cell>
        </row>
        <row r="48">
          <cell r="B48">
            <v>54.600741995972705</v>
          </cell>
          <cell r="C48">
            <v>13.588287710540801</v>
          </cell>
          <cell r="D48">
            <v>22.446611010314498</v>
          </cell>
          <cell r="F48">
            <v>0.254975579097314</v>
          </cell>
          <cell r="G48">
            <v>90.890616295925398</v>
          </cell>
        </row>
        <row r="49">
          <cell r="B49">
            <v>54.3326379766416</v>
          </cell>
          <cell r="C49">
            <v>13.9149765785652</v>
          </cell>
          <cell r="D49">
            <v>22.254777824112203</v>
          </cell>
          <cell r="F49">
            <v>0.59759452022003401</v>
          </cell>
          <cell r="G49">
            <v>91.099986899539005</v>
          </cell>
        </row>
        <row r="50">
          <cell r="B50">
            <v>55.427642911052303</v>
          </cell>
          <cell r="C50">
            <v>14.130956887356701</v>
          </cell>
          <cell r="D50">
            <v>22.069856955110403</v>
          </cell>
          <cell r="F50">
            <v>0.61402830900062799</v>
          </cell>
          <cell r="G50">
            <v>92.242485062520004</v>
          </cell>
        </row>
        <row r="51">
          <cell r="B51">
            <v>55.468468139718901</v>
          </cell>
          <cell r="C51">
            <v>14.3698700126281</v>
          </cell>
          <cell r="D51">
            <v>21.853600187660899</v>
          </cell>
          <cell r="F51">
            <v>0.64696873555355705</v>
          </cell>
          <cell r="G51">
            <v>92.338907075561394</v>
          </cell>
        </row>
        <row r="52">
          <cell r="B52">
            <v>56.372839307301199</v>
          </cell>
          <cell r="C52">
            <v>14.601266770907401</v>
          </cell>
          <cell r="D52">
            <v>20.630356561135699</v>
          </cell>
          <cell r="F52">
            <v>0.65742803716299703</v>
          </cell>
          <cell r="G52">
            <v>92.261890676507292</v>
          </cell>
        </row>
        <row r="53">
          <cell r="B53">
            <v>56.919252494159302</v>
          </cell>
          <cell r="C53">
            <v>14.778846257980399</v>
          </cell>
          <cell r="D53">
            <v>20.755574976419801</v>
          </cell>
          <cell r="F53">
            <v>0.72056275799949299</v>
          </cell>
          <cell r="G53">
            <v>93.174236486559096</v>
          </cell>
        </row>
        <row r="54">
          <cell r="B54">
            <v>56.317669215723804</v>
          </cell>
          <cell r="C54">
            <v>14.9026700589638</v>
          </cell>
          <cell r="D54">
            <v>20.471912571995801</v>
          </cell>
          <cell r="F54">
            <v>0.742132969526623</v>
          </cell>
          <cell r="G54">
            <v>92.434384816209899</v>
          </cell>
        </row>
        <row r="55">
          <cell r="B55">
            <v>56.175396076466498</v>
          </cell>
          <cell r="C55">
            <v>14.796405540660601</v>
          </cell>
          <cell r="D55">
            <v>20.131319566062402</v>
          </cell>
          <cell r="F55">
            <v>0.751160396294275</v>
          </cell>
          <cell r="G55">
            <v>91.854281579483697</v>
          </cell>
        </row>
        <row r="56">
          <cell r="B56">
            <v>56.190557210574099</v>
          </cell>
          <cell r="C56">
            <v>14.699294403425501</v>
          </cell>
          <cell r="D56">
            <v>20.024725388476199</v>
          </cell>
          <cell r="F56">
            <v>0.76028493226250604</v>
          </cell>
          <cell r="G56">
            <v>91.674861934738303</v>
          </cell>
        </row>
        <row r="57">
          <cell r="B57">
            <v>56.457997365038203</v>
          </cell>
          <cell r="C57">
            <v>14.931967963994101</v>
          </cell>
          <cell r="D57">
            <v>19.883329656061697</v>
          </cell>
          <cell r="F57">
            <v>0.70619463283725903</v>
          </cell>
          <cell r="G57">
            <v>91.979489617931307</v>
          </cell>
        </row>
        <row r="58">
          <cell r="B58">
            <v>56.6628772194776</v>
          </cell>
          <cell r="C58">
            <v>15.102229007802601</v>
          </cell>
          <cell r="D58">
            <v>19.776099995238301</v>
          </cell>
          <cell r="F58">
            <v>0.73024525647018401</v>
          </cell>
          <cell r="G58">
            <v>92.271451478988695</v>
          </cell>
        </row>
        <row r="59">
          <cell r="B59">
            <v>55.734485144411799</v>
          </cell>
          <cell r="C59">
            <v>15.3134390694474</v>
          </cell>
          <cell r="D59">
            <v>18.802020991592098</v>
          </cell>
          <cell r="F59">
            <v>0.75415074887644096</v>
          </cell>
          <cell r="G59">
            <v>90.604095954327803</v>
          </cell>
        </row>
        <row r="60">
          <cell r="B60">
            <v>55.7072333127809</v>
          </cell>
          <cell r="C60">
            <v>15.6667420039209</v>
          </cell>
          <cell r="D60">
            <v>18.6586683463882</v>
          </cell>
          <cell r="F60">
            <v>0.80933149052506903</v>
          </cell>
          <cell r="G60">
            <v>90.841975153615095</v>
          </cell>
        </row>
        <row r="61">
          <cell r="B61">
            <v>55.8873647886995</v>
          </cell>
          <cell r="C61">
            <v>15.9559135179988</v>
          </cell>
          <cell r="D61">
            <v>18.589494863195899</v>
          </cell>
          <cell r="F61">
            <v>0.83803938166516201</v>
          </cell>
          <cell r="G61">
            <v>91.270812551559303</v>
          </cell>
        </row>
        <row r="62">
          <cell r="B62">
            <v>56.354277866679901</v>
          </cell>
          <cell r="C62">
            <v>16.123741974903901</v>
          </cell>
          <cell r="D62">
            <v>18.4031569971804</v>
          </cell>
          <cell r="F62">
            <v>0.89189377853519591</v>
          </cell>
          <cell r="G62">
            <v>91.773070617299496</v>
          </cell>
        </row>
        <row r="63">
          <cell r="B63">
            <v>57.302396748113296</v>
          </cell>
          <cell r="C63">
            <v>16.441577084761398</v>
          </cell>
          <cell r="D63">
            <v>18.3408097057508</v>
          </cell>
          <cell r="F63">
            <v>0.92998163565256997</v>
          </cell>
          <cell r="G63">
            <v>93.014765174278111</v>
          </cell>
        </row>
        <row r="64">
          <cell r="B64">
            <v>57.520120471440904</v>
          </cell>
          <cell r="C64">
            <v>16.7716341004861</v>
          </cell>
          <cell r="D64">
            <v>17.632348773886001</v>
          </cell>
          <cell r="F64">
            <v>0.966178639979553</v>
          </cell>
          <cell r="G64">
            <v>92.890281985792498</v>
          </cell>
        </row>
        <row r="65">
          <cell r="B65">
            <v>57.2439135886681</v>
          </cell>
          <cell r="C65">
            <v>17.097163507387499</v>
          </cell>
          <cell r="D65">
            <v>17.225771580024897</v>
          </cell>
          <cell r="F65">
            <v>0.98371132936695505</v>
          </cell>
          <cell r="G65">
            <v>92.550560005447494</v>
          </cell>
        </row>
        <row r="66">
          <cell r="B66">
            <v>60.920129729855901</v>
          </cell>
          <cell r="C66">
            <v>17.533626059215099</v>
          </cell>
          <cell r="D66">
            <v>17.1181754044988</v>
          </cell>
          <cell r="F66">
            <v>0.99584022066481992</v>
          </cell>
          <cell r="G66">
            <v>96.567771414234699</v>
          </cell>
        </row>
        <row r="67">
          <cell r="B67">
            <v>61.140147997901494</v>
          </cell>
          <cell r="C67">
            <v>17.523106206358896</v>
          </cell>
          <cell r="D67">
            <v>16.914070810410802</v>
          </cell>
          <cell r="F67">
            <v>1.01910609944314</v>
          </cell>
          <cell r="G67">
            <v>96.59643111411431</v>
          </cell>
        </row>
        <row r="68">
          <cell r="B68">
            <v>59.903385085883002</v>
          </cell>
          <cell r="C68">
            <v>17.672080921336601</v>
          </cell>
          <cell r="D68">
            <v>16.77532508262</v>
          </cell>
          <cell r="F68">
            <v>1.01817407332559</v>
          </cell>
          <cell r="G68">
            <v>95.3689651631651</v>
          </cell>
        </row>
        <row r="69">
          <cell r="B69">
            <v>60.268274437845903</v>
          </cell>
          <cell r="C69">
            <v>18.069664613381502</v>
          </cell>
          <cell r="D69">
            <v>16.723178202690999</v>
          </cell>
          <cell r="F69">
            <v>1.00494887006329</v>
          </cell>
          <cell r="G69">
            <v>96.066066123981699</v>
          </cell>
        </row>
        <row r="70">
          <cell r="B70">
            <v>61.462084840522699</v>
          </cell>
          <cell r="C70">
            <v>18.358079658695303</v>
          </cell>
          <cell r="D70">
            <v>16.428821357665399</v>
          </cell>
          <cell r="F70">
            <v>1.0051912431827499</v>
          </cell>
          <cell r="G70">
            <v>97.254177100066102</v>
          </cell>
        </row>
        <row r="71">
          <cell r="B71">
            <v>62.772361740640605</v>
          </cell>
          <cell r="C71">
            <v>18.570614827688303</v>
          </cell>
          <cell r="D71">
            <v>15.611681786197501</v>
          </cell>
          <cell r="F71">
            <v>1.0264140835892099</v>
          </cell>
          <cell r="G71">
            <v>97.98107243811549</v>
          </cell>
        </row>
        <row r="72">
          <cell r="B72">
            <v>63.809565401565806</v>
          </cell>
          <cell r="C72">
            <v>18.946401400814498</v>
          </cell>
          <cell r="D72">
            <v>15.546055971944501</v>
          </cell>
          <cell r="F72">
            <v>1.0578894327797901</v>
          </cell>
          <cell r="G72">
            <v>99.3599122071046</v>
          </cell>
        </row>
        <row r="73">
          <cell r="B73">
            <v>64.602019435303703</v>
          </cell>
          <cell r="C73">
            <v>19.356705401928501</v>
          </cell>
          <cell r="D73">
            <v>15.1743904999666</v>
          </cell>
          <cell r="F73">
            <v>1.1002142648504001</v>
          </cell>
          <cell r="G73">
            <v>100.233329602049</v>
          </cell>
        </row>
        <row r="74">
          <cell r="B74">
            <v>65.594199066160996</v>
          </cell>
          <cell r="C74">
            <v>19.854053602206402</v>
          </cell>
          <cell r="D74">
            <v>14.729455581067601</v>
          </cell>
          <cell r="F74">
            <v>1.1545774458584499</v>
          </cell>
          <cell r="G74">
            <v>101.332285695294</v>
          </cell>
        </row>
        <row r="75">
          <cell r="B75">
            <v>66.23349938739689</v>
          </cell>
          <cell r="C75">
            <v>20.356013193648799</v>
          </cell>
          <cell r="D75">
            <v>14.6584457324839</v>
          </cell>
          <cell r="F75">
            <v>1.21393568116606</v>
          </cell>
          <cell r="G75">
            <v>102.461893994696</v>
          </cell>
        </row>
        <row r="76">
          <cell r="B76">
            <v>67.608061015703299</v>
          </cell>
          <cell r="C76">
            <v>20.871799373408003</v>
          </cell>
          <cell r="D76">
            <v>13.847661134578599</v>
          </cell>
          <cell r="F76">
            <v>1.3445295229979302</v>
          </cell>
          <cell r="G76">
            <v>103.672051046688</v>
          </cell>
        </row>
        <row r="77">
          <cell r="B77">
            <v>68.605694727927101</v>
          </cell>
          <cell r="C77">
            <v>21.405401793028702</v>
          </cell>
          <cell r="D77">
            <v>12.334179649367</v>
          </cell>
          <cell r="F77">
            <v>1.38068440170159</v>
          </cell>
          <cell r="G77">
            <v>103.72596057202401</v>
          </cell>
        </row>
        <row r="78">
          <cell r="B78">
            <v>68.130313343922595</v>
          </cell>
          <cell r="C78">
            <v>21.651500479026502</v>
          </cell>
          <cell r="D78">
            <v>12.345701934963101</v>
          </cell>
          <cell r="F78">
            <v>1.4250917697959</v>
          </cell>
          <cell r="G78">
            <v>103.55260752770799</v>
          </cell>
        </row>
        <row r="79">
          <cell r="B79">
            <v>68.033096178799497</v>
          </cell>
          <cell r="C79">
            <v>21.883436382699099</v>
          </cell>
          <cell r="D79">
            <v>12.280850423051701</v>
          </cell>
          <cell r="F79">
            <v>1.4801115214621301</v>
          </cell>
          <cell r="G79">
            <v>103.677494506012</v>
          </cell>
        </row>
        <row r="80">
          <cell r="B80">
            <v>69.173260023826288</v>
          </cell>
          <cell r="C80">
            <v>22.0966092405403</v>
          </cell>
          <cell r="D80">
            <v>12.107856355026501</v>
          </cell>
          <cell r="F80">
            <v>1.5239020853791101</v>
          </cell>
          <cell r="G80">
            <v>104.901627704772</v>
          </cell>
        </row>
        <row r="81">
          <cell r="B81">
            <v>69.579184047457304</v>
          </cell>
          <cell r="C81">
            <v>22.728148987326499</v>
          </cell>
          <cell r="D81">
            <v>12.157979971954001</v>
          </cell>
          <cell r="F81">
            <v>1.5751726282610399</v>
          </cell>
          <cell r="G81">
            <v>106.04048563499899</v>
          </cell>
        </row>
        <row r="82">
          <cell r="B82">
            <v>70.192237150045898</v>
          </cell>
          <cell r="C82">
            <v>23.198999902100603</v>
          </cell>
          <cell r="D82">
            <v>12.1699890848869</v>
          </cell>
          <cell r="F82">
            <v>1.6300403942747199</v>
          </cell>
          <cell r="G82">
            <v>107.191266531308</v>
          </cell>
        </row>
        <row r="83">
          <cell r="B83">
            <v>71.485127982148299</v>
          </cell>
          <cell r="C83">
            <v>23.716691163072699</v>
          </cell>
          <cell r="D83">
            <v>12.1869602077532</v>
          </cell>
          <cell r="F83">
            <v>1.68898708161183</v>
          </cell>
          <cell r="G83">
            <v>109.077766434586</v>
          </cell>
        </row>
        <row r="84">
          <cell r="B84">
            <v>71.537688722244596</v>
          </cell>
          <cell r="C84">
            <v>24.395006643941798</v>
          </cell>
          <cell r="D84">
            <v>12.217537088560199</v>
          </cell>
          <cell r="F84">
            <v>1.7374896971126299</v>
          </cell>
          <cell r="G84">
            <v>109.88772215185899</v>
          </cell>
        </row>
        <row r="85">
          <cell r="B85">
            <v>70.936032985203099</v>
          </cell>
          <cell r="C85">
            <v>25.0872811618733</v>
          </cell>
          <cell r="D85">
            <v>12.2459219514535</v>
          </cell>
          <cell r="F85">
            <v>1.7923637896359501</v>
          </cell>
          <cell r="G85">
            <v>110.061599888166</v>
          </cell>
        </row>
        <row r="86">
          <cell r="B86">
            <v>71.742878538354802</v>
          </cell>
          <cell r="C86">
            <v>25.881446066963402</v>
          </cell>
          <cell r="D86">
            <v>11.534326168802901</v>
          </cell>
          <cell r="F86">
            <v>1.84861158486337</v>
          </cell>
          <cell r="G86">
            <v>111.007262358985</v>
          </cell>
        </row>
        <row r="87">
          <cell r="B87">
            <v>72.628069095067701</v>
          </cell>
          <cell r="C87">
            <v>26.568811338549597</v>
          </cell>
          <cell r="D87">
            <v>11.570887184468399</v>
          </cell>
          <cell r="F87">
            <v>1.85039385660527</v>
          </cell>
          <cell r="G87">
            <v>112.61816147469099</v>
          </cell>
        </row>
        <row r="88">
          <cell r="B88">
            <v>73.3449786307159</v>
          </cell>
          <cell r="C88">
            <v>27.4455511212416</v>
          </cell>
          <cell r="D88">
            <v>11.608097488483601</v>
          </cell>
          <cell r="F88">
            <v>1.94883502277305</v>
          </cell>
          <cell r="G88">
            <v>114.347462263214</v>
          </cell>
        </row>
        <row r="89">
          <cell r="B89">
            <v>74.80539335766079</v>
          </cell>
          <cell r="C89">
            <v>28.4560197380424</v>
          </cell>
          <cell r="D89">
            <v>11.5373358970516</v>
          </cell>
          <cell r="F89">
            <v>1.97465880631872</v>
          </cell>
          <cell r="G89">
            <v>116.77340779907401</v>
          </cell>
        </row>
        <row r="90">
          <cell r="B90">
            <v>75.591950489269394</v>
          </cell>
          <cell r="C90">
            <v>29.008401274706699</v>
          </cell>
          <cell r="D90">
            <v>11.552160978471001</v>
          </cell>
          <cell r="F90">
            <v>1.99337762647172</v>
          </cell>
          <cell r="G90">
            <v>118.14589036891901</v>
          </cell>
        </row>
        <row r="91">
          <cell r="B91">
            <v>76.683640051581804</v>
          </cell>
          <cell r="C91">
            <v>29.724950466253699</v>
          </cell>
          <cell r="D91">
            <v>11.582555274065999</v>
          </cell>
          <cell r="F91">
            <v>2.0360400449348699</v>
          </cell>
          <cell r="G91">
            <v>120.027185836836</v>
          </cell>
        </row>
        <row r="92">
          <cell r="B92">
            <v>75.905652497132593</v>
          </cell>
          <cell r="C92">
            <v>30.5949208368177</v>
          </cell>
          <cell r="D92">
            <v>11.666646477207701</v>
          </cell>
          <cell r="F92">
            <v>2.0934832712768801</v>
          </cell>
          <cell r="G92">
            <v>120.260703082435</v>
          </cell>
        </row>
        <row r="93">
          <cell r="B93">
            <v>78.416726146921604</v>
          </cell>
          <cell r="C93">
            <v>31.580135689694899</v>
          </cell>
          <cell r="D93">
            <v>11.912879183573899</v>
          </cell>
          <cell r="F93">
            <v>2.1554879486039402</v>
          </cell>
          <cell r="G93">
            <v>124.065228968794</v>
          </cell>
        </row>
        <row r="94">
          <cell r="B94">
            <v>80.925183607831997</v>
          </cell>
          <cell r="C94">
            <v>32.7382923771573</v>
          </cell>
          <cell r="D94">
            <v>12.361831228404499</v>
          </cell>
          <cell r="F94">
            <v>2.1315664029641899</v>
          </cell>
          <cell r="G94">
            <v>128.15687361635801</v>
          </cell>
        </row>
        <row r="95">
          <cell r="B95">
            <v>83.599200179004001</v>
          </cell>
          <cell r="C95">
            <v>33.646372318333597</v>
          </cell>
          <cell r="D95">
            <v>12.710523995998502</v>
          </cell>
          <cell r="F95">
            <v>2.2189279386107401</v>
          </cell>
          <cell r="G95">
            <v>132.17502443194701</v>
          </cell>
        </row>
        <row r="96">
          <cell r="B96">
            <v>85.21911259511721</v>
          </cell>
          <cell r="C96">
            <v>34.574581953142797</v>
          </cell>
          <cell r="D96">
            <v>12.9876398775793</v>
          </cell>
          <cell r="F96">
            <v>2.2956941316817598</v>
          </cell>
          <cell r="G96">
            <v>135.077028557521</v>
          </cell>
        </row>
        <row r="97">
          <cell r="B97">
            <v>86.043319058104601</v>
          </cell>
          <cell r="C97">
            <v>35.724496406989196</v>
          </cell>
          <cell r="D97">
            <v>13.3588604002029</v>
          </cell>
          <cell r="F97">
            <v>2.3521749971691097</v>
          </cell>
          <cell r="G97">
            <v>137.478850862466</v>
          </cell>
        </row>
        <row r="98">
          <cell r="B98">
            <v>87.428727818549106</v>
          </cell>
          <cell r="C98">
            <v>37.107702010197698</v>
          </cell>
          <cell r="D98">
            <v>13.8221511076119</v>
          </cell>
          <cell r="F98">
            <v>2.4161483762297804</v>
          </cell>
          <cell r="G98">
            <v>140.77472931258899</v>
          </cell>
        </row>
        <row r="99">
          <cell r="B99">
            <v>89.697855460502495</v>
          </cell>
          <cell r="C99">
            <v>38.320454069654602</v>
          </cell>
          <cell r="D99">
            <v>13.079207458663999</v>
          </cell>
          <cell r="F99">
            <v>2.4846589342389103</v>
          </cell>
          <cell r="G99">
            <v>143.58217592305999</v>
          </cell>
        </row>
        <row r="100">
          <cell r="B100">
            <v>92.042409536087604</v>
          </cell>
          <cell r="C100">
            <v>39.505057093703698</v>
          </cell>
          <cell r="D100">
            <v>13.0537628553171</v>
          </cell>
          <cell r="F100">
            <v>2.51793196859958</v>
          </cell>
          <cell r="G100">
            <v>147.11916145370802</v>
          </cell>
        </row>
        <row r="101">
          <cell r="B101">
            <v>93.259763232567991</v>
          </cell>
          <cell r="C101">
            <v>40.763441420576399</v>
          </cell>
          <cell r="D101">
            <v>12.893455784205299</v>
          </cell>
          <cell r="F101">
            <v>2.54577000142526</v>
          </cell>
          <cell r="G101">
            <v>149.46243043877499</v>
          </cell>
        </row>
        <row r="102">
          <cell r="B102">
            <v>93.190337929618892</v>
          </cell>
          <cell r="C102">
            <v>41.4174870323899</v>
          </cell>
          <cell r="D102">
            <v>13.2155139252539</v>
          </cell>
          <cell r="F102">
            <v>2.5813208225649098</v>
          </cell>
          <cell r="G102">
            <v>150.404659709828</v>
          </cell>
        </row>
        <row r="103">
          <cell r="B103">
            <v>94.606059950423699</v>
          </cell>
          <cell r="C103">
            <v>42.179089671583803</v>
          </cell>
          <cell r="D103">
            <v>13.469584570795499</v>
          </cell>
          <cell r="F103">
            <v>2.5821932630112698</v>
          </cell>
          <cell r="G103">
            <v>152.83692745581399</v>
          </cell>
        </row>
        <row r="104">
          <cell r="B104">
            <v>95.726009071454101</v>
          </cell>
          <cell r="C104">
            <v>43.539544962883298</v>
          </cell>
          <cell r="D104">
            <v>13.8276851951879</v>
          </cell>
          <cell r="F104">
            <v>2.64767243748505</v>
          </cell>
          <cell r="G104">
            <v>155.74091166701001</v>
          </cell>
        </row>
        <row r="105">
          <cell r="B105">
            <v>96.210253383214607</v>
          </cell>
          <cell r="C105">
            <v>44.862802781360898</v>
          </cell>
          <cell r="D105">
            <v>14.095509706097099</v>
          </cell>
          <cell r="F105">
            <v>2.6779275623562699</v>
          </cell>
          <cell r="G105">
            <v>157.846493433029</v>
          </cell>
        </row>
        <row r="106">
          <cell r="B106">
            <v>98.838682702162799</v>
          </cell>
          <cell r="C106">
            <v>45.8261309473057</v>
          </cell>
          <cell r="D106">
            <v>14.570021417566901</v>
          </cell>
          <cell r="F106">
            <v>2.6914864196133701</v>
          </cell>
          <cell r="G106">
            <v>161.92632148664899</v>
          </cell>
        </row>
        <row r="107">
          <cell r="B107">
            <v>100.604780560408</v>
          </cell>
          <cell r="C107">
            <v>46.857891054713598</v>
          </cell>
          <cell r="D107">
            <v>14.462381119500799</v>
          </cell>
          <cell r="F107">
            <v>2.7038490179160699</v>
          </cell>
          <cell r="G107">
            <v>164.62890175253798</v>
          </cell>
        </row>
        <row r="108">
          <cell r="B108">
            <v>102.439178933222</v>
          </cell>
          <cell r="C108">
            <v>47.886738370572502</v>
          </cell>
          <cell r="D108">
            <v>14.246059245964799</v>
          </cell>
          <cell r="F108">
            <v>2.7180955391279102</v>
          </cell>
          <cell r="G108">
            <v>167.290072088887</v>
          </cell>
        </row>
        <row r="109">
          <cell r="B109">
            <v>104.36735727422</v>
          </cell>
          <cell r="C109">
            <v>48.7662742977327</v>
          </cell>
          <cell r="D109">
            <v>14.5628079434772</v>
          </cell>
          <cell r="F109">
            <v>2.7248752286785596</v>
          </cell>
          <cell r="G109">
            <v>170.421314744109</v>
          </cell>
        </row>
        <row r="110">
          <cell r="B110">
            <v>106.798368248556</v>
          </cell>
          <cell r="C110">
            <v>49.717826065025598</v>
          </cell>
          <cell r="D110">
            <v>14.926446868315399</v>
          </cell>
          <cell r="F110">
            <v>2.7760353005559399</v>
          </cell>
          <cell r="G110">
            <v>174.21867648245299</v>
          </cell>
        </row>
        <row r="111">
          <cell r="B111">
            <v>107.952884722367</v>
          </cell>
          <cell r="C111">
            <v>51.722041495710002</v>
          </cell>
          <cell r="D111">
            <v>15.704175861398801</v>
          </cell>
          <cell r="F111">
            <v>2.8258930107227402</v>
          </cell>
          <cell r="G111">
            <v>178.20499509019899</v>
          </cell>
        </row>
        <row r="112">
          <cell r="B112">
            <v>110.764412405705</v>
          </cell>
          <cell r="C112">
            <v>52.280990029025098</v>
          </cell>
          <cell r="D112">
            <v>15.5569703809396</v>
          </cell>
          <cell r="F112">
            <v>2.8563490490752002</v>
          </cell>
          <cell r="G112">
            <v>181.45872186474398</v>
          </cell>
        </row>
        <row r="113">
          <cell r="B113">
            <v>110.580534345983</v>
          </cell>
          <cell r="C113">
            <v>52.938168600064799</v>
          </cell>
          <cell r="D113">
            <v>15.386136242751601</v>
          </cell>
          <cell r="F113">
            <v>2.8643968995678599</v>
          </cell>
          <cell r="G113">
            <v>181.76923608836699</v>
          </cell>
        </row>
        <row r="114">
          <cell r="B114">
            <v>109.779064923297</v>
          </cell>
          <cell r="C114">
            <v>53.021146060300403</v>
          </cell>
          <cell r="D114">
            <v>15.556997901635599</v>
          </cell>
          <cell r="F114">
            <v>2.8454348509642102</v>
          </cell>
          <cell r="G114">
            <v>181.20264373619699</v>
          </cell>
        </row>
        <row r="115">
          <cell r="B115">
            <v>110.42703487345</v>
          </cell>
          <cell r="C115">
            <v>53.104989860377799</v>
          </cell>
          <cell r="D115">
            <v>15.81993209909</v>
          </cell>
          <cell r="F115">
            <v>2.8499424542398999</v>
          </cell>
          <cell r="G115">
            <v>182.201899287158</v>
          </cell>
        </row>
        <row r="116">
          <cell r="B116">
            <v>111.00681014193499</v>
          </cell>
          <cell r="C116">
            <v>53.209197882847199</v>
          </cell>
          <cell r="D116">
            <v>15.9917780483852</v>
          </cell>
          <cell r="F116">
            <v>2.8471989484576601</v>
          </cell>
          <cell r="G116">
            <v>183.05498502162499</v>
          </cell>
        </row>
        <row r="117">
          <cell r="B117">
            <v>111.26921747839101</v>
          </cell>
          <cell r="C117">
            <v>53.802614864297503</v>
          </cell>
          <cell r="D117">
            <v>16.054867586114202</v>
          </cell>
          <cell r="F117">
            <v>2.9174275287328499</v>
          </cell>
          <cell r="G117">
            <v>184.04412745753601</v>
          </cell>
        </row>
        <row r="118">
          <cell r="B118">
            <v>112.30725334344</v>
          </cell>
          <cell r="C118">
            <v>54.389072233563496</v>
          </cell>
          <cell r="D118">
            <v>15.8877450817329</v>
          </cell>
          <cell r="F118">
            <v>2.9847671172922601</v>
          </cell>
          <cell r="G118">
            <v>185.568837776028</v>
          </cell>
        </row>
        <row r="119">
          <cell r="B119">
            <v>115.759077775957</v>
          </cell>
          <cell r="C119">
            <v>54.447128995621199</v>
          </cell>
          <cell r="D119">
            <v>16.237946681958501</v>
          </cell>
          <cell r="F119">
            <v>3.1058165280355001</v>
          </cell>
          <cell r="G119">
            <v>189.54996998157199</v>
          </cell>
        </row>
        <row r="120">
          <cell r="B120">
            <v>116.55575727434901</v>
          </cell>
          <cell r="C120">
            <v>54.998009516004899</v>
          </cell>
          <cell r="D120">
            <v>16.629118800226401</v>
          </cell>
          <cell r="F120">
            <v>3.1788933069515499</v>
          </cell>
          <cell r="G120">
            <v>191.36177889753202</v>
          </cell>
        </row>
        <row r="121">
          <cell r="B121">
            <v>118.44906839177699</v>
          </cell>
          <cell r="C121">
            <v>55.363082546183406</v>
          </cell>
          <cell r="D121">
            <v>16.398929983338</v>
          </cell>
          <cell r="F121">
            <v>3.2486317004182399</v>
          </cell>
          <cell r="G121">
            <v>193.45971262171702</v>
          </cell>
        </row>
        <row r="122">
          <cell r="B122">
            <v>121.46072732994099</v>
          </cell>
          <cell r="C122">
            <v>55.788444758261903</v>
          </cell>
          <cell r="D122">
            <v>16.726583147209102</v>
          </cell>
          <cell r="F122">
            <v>3.3333549566423404</v>
          </cell>
          <cell r="G122">
            <v>197.30911019205399</v>
          </cell>
        </row>
        <row r="123">
          <cell r="B123">
            <v>124.949400059604</v>
          </cell>
          <cell r="C123">
            <v>56.308499706986602</v>
          </cell>
          <cell r="D123">
            <v>17.0367733970225</v>
          </cell>
          <cell r="F123">
            <v>3.3795693532256696</v>
          </cell>
          <cell r="G123">
            <v>201.674242516839</v>
          </cell>
        </row>
        <row r="124">
          <cell r="B124">
            <v>127.21563346283901</v>
          </cell>
          <cell r="C124">
            <v>56.492957725968694</v>
          </cell>
          <cell r="D124">
            <v>16.9626670551798</v>
          </cell>
          <cell r="F124">
            <v>3.86800301548331</v>
          </cell>
          <cell r="G124">
            <v>204.539261259471</v>
          </cell>
        </row>
        <row r="125">
          <cell r="B125">
            <v>126.140641229116</v>
          </cell>
          <cell r="C125">
            <v>56.461635656466498</v>
          </cell>
          <cell r="D125">
            <v>16.634544732118002</v>
          </cell>
          <cell r="F125">
            <v>4.2474775649896701</v>
          </cell>
          <cell r="G125">
            <v>203.48429918268999</v>
          </cell>
        </row>
        <row r="126">
          <cell r="B126">
            <v>125.60979318438601</v>
          </cell>
          <cell r="C126">
            <v>55.9209325160327</v>
          </cell>
          <cell r="D126">
            <v>16.810169731668601</v>
          </cell>
          <cell r="F126">
            <v>4.2968588945513693</v>
          </cell>
          <cell r="G126">
            <v>202.637754326639</v>
          </cell>
        </row>
        <row r="127">
          <cell r="B127">
            <v>124.85903718699601</v>
          </cell>
          <cell r="C127">
            <v>55.155671860875195</v>
          </cell>
          <cell r="D127">
            <v>16.9429818355962</v>
          </cell>
          <cell r="F127">
            <v>4.3663961778437796</v>
          </cell>
          <cell r="G127">
            <v>201.32408706131201</v>
          </cell>
        </row>
        <row r="128">
          <cell r="B128">
            <v>124.32523902362601</v>
          </cell>
          <cell r="C128">
            <v>54.488209660688199</v>
          </cell>
          <cell r="D128">
            <v>16.442063762609898</v>
          </cell>
          <cell r="F128">
            <v>4.4408827262530206</v>
          </cell>
          <cell r="G128">
            <v>199.696395173177</v>
          </cell>
        </row>
        <row r="129">
          <cell r="B129">
            <v>123.89219694628</v>
          </cell>
          <cell r="C129">
            <v>54.114668610727598</v>
          </cell>
          <cell r="D129">
            <v>16.709515953435801</v>
          </cell>
          <cell r="F129">
            <v>4.5426613578812702</v>
          </cell>
          <cell r="G129">
            <v>199.259042868324</v>
          </cell>
        </row>
        <row r="130">
          <cell r="B130">
            <v>126.97141050000199</v>
          </cell>
          <cell r="C130">
            <v>53.959135387956998</v>
          </cell>
          <cell r="D130">
            <v>16.4279754059542</v>
          </cell>
          <cell r="F130">
            <v>4.6418623482359997</v>
          </cell>
          <cell r="G130">
            <v>202.00038364214899</v>
          </cell>
        </row>
        <row r="131">
          <cell r="B131">
            <v>127.06377952665601</v>
          </cell>
          <cell r="C131">
            <v>53.880630683345004</v>
          </cell>
          <cell r="D131">
            <v>16.646264601540501</v>
          </cell>
          <cell r="F131">
            <v>4.7239196341217404</v>
          </cell>
          <cell r="G131">
            <v>202.314594445663</v>
          </cell>
        </row>
        <row r="132">
          <cell r="B132">
            <v>126.008446542795</v>
          </cell>
          <cell r="C132">
            <v>53.911047285771204</v>
          </cell>
          <cell r="D132">
            <v>17.016300466263399</v>
          </cell>
          <cell r="F132">
            <v>4.81385833135979</v>
          </cell>
          <cell r="G132">
            <v>201.749652626189</v>
          </cell>
        </row>
        <row r="133">
          <cell r="B133">
            <v>123.48537778272301</v>
          </cell>
          <cell r="C133">
            <v>54.0307192066836</v>
          </cell>
          <cell r="D133">
            <v>16.857291140528901</v>
          </cell>
          <cell r="F133">
            <v>4.9054502785164402</v>
          </cell>
          <cell r="G133">
            <v>199.278838408452</v>
          </cell>
        </row>
        <row r="134">
          <cell r="B134">
            <v>122.811883674058</v>
          </cell>
          <cell r="C134">
            <v>54.163935418137001</v>
          </cell>
          <cell r="D134">
            <v>17.332893148343498</v>
          </cell>
          <cell r="F134">
            <v>4.9934689422592404</v>
          </cell>
          <cell r="G134">
            <v>199.302181182797</v>
          </cell>
        </row>
        <row r="135">
          <cell r="B135">
            <v>122.978885502886</v>
          </cell>
          <cell r="C135">
            <v>54.539007539855199</v>
          </cell>
          <cell r="D135">
            <v>17.826469726644</v>
          </cell>
          <cell r="F135">
            <v>5.0950149039315598</v>
          </cell>
          <cell r="G135">
            <v>200.43937767331602</v>
          </cell>
        </row>
        <row r="136">
          <cell r="B136">
            <v>122.588837910366</v>
          </cell>
          <cell r="C136">
            <v>55.429710821886196</v>
          </cell>
          <cell r="D136">
            <v>18.2579018603683</v>
          </cell>
          <cell r="F136">
            <v>5.1234573567980402</v>
          </cell>
          <cell r="G136">
            <v>201.39990794941801</v>
          </cell>
        </row>
        <row r="137">
          <cell r="B137">
            <v>123.21561102041601</v>
          </cell>
          <cell r="C137">
            <v>55.637850659482595</v>
          </cell>
          <cell r="D137">
            <v>18.363846034460401</v>
          </cell>
          <cell r="F137">
            <v>5.1361407818823004</v>
          </cell>
          <cell r="G137">
            <v>202.35344849624099</v>
          </cell>
        </row>
        <row r="138">
          <cell r="B138">
            <v>121.774922372684</v>
          </cell>
          <cell r="C138">
            <v>55.518994514279406</v>
          </cell>
          <cell r="D138">
            <v>18.601395582129999</v>
          </cell>
          <cell r="F138">
            <v>5.1135479252076594</v>
          </cell>
          <cell r="G138">
            <v>201.008860394301</v>
          </cell>
        </row>
        <row r="139">
          <cell r="B139">
            <v>121.780802046085</v>
          </cell>
          <cell r="C139">
            <v>55.460671233900101</v>
          </cell>
          <cell r="D139">
            <v>18.673248790137102</v>
          </cell>
          <cell r="F139">
            <v>5.1017103572983</v>
          </cell>
          <cell r="G139">
            <v>201.01643242742099</v>
          </cell>
        </row>
        <row r="140">
          <cell r="B140">
            <v>121.92572737886999</v>
          </cell>
          <cell r="C140">
            <v>55.629270282541199</v>
          </cell>
          <cell r="D140">
            <v>19.1727341599019</v>
          </cell>
          <cell r="F140">
            <v>5.0808452976944505</v>
          </cell>
          <cell r="G140">
            <v>201.808577119007</v>
          </cell>
        </row>
        <row r="141">
          <cell r="B141">
            <v>122.556462659704</v>
          </cell>
          <cell r="C141">
            <v>55.894914179663999</v>
          </cell>
          <cell r="D141">
            <v>18.965662288878601</v>
          </cell>
          <cell r="F141">
            <v>5.0975621756901601</v>
          </cell>
          <cell r="G141">
            <v>202.51460130393701</v>
          </cell>
        </row>
        <row r="142">
          <cell r="B142">
            <v>123.924766385301</v>
          </cell>
          <cell r="C142">
            <v>56.536208911055496</v>
          </cell>
          <cell r="D142">
            <v>19.446238368589</v>
          </cell>
          <cell r="F142">
            <v>5.1124427982331602</v>
          </cell>
          <cell r="G142">
            <v>205.01965646317899</v>
          </cell>
        </row>
        <row r="143">
          <cell r="B143">
            <v>125.92843552744399</v>
          </cell>
          <cell r="C143">
            <v>57.056794348782901</v>
          </cell>
          <cell r="D143">
            <v>19.899593554509202</v>
          </cell>
          <cell r="F143">
            <v>5.1500909850810803</v>
          </cell>
          <cell r="G143">
            <v>208.03491441581698</v>
          </cell>
        </row>
        <row r="144">
          <cell r="B144">
            <v>126.98210371647501</v>
          </cell>
          <cell r="C144">
            <v>57.784967829501504</v>
          </cell>
          <cell r="D144">
            <v>19.6327004726265</v>
          </cell>
          <cell r="F144">
            <v>5.1818455524134306</v>
          </cell>
          <cell r="G144">
            <v>209.58161757101598</v>
          </cell>
        </row>
        <row r="145">
          <cell r="B145">
            <v>128.66129448318</v>
          </cell>
          <cell r="C145">
            <v>58.592656931318899</v>
          </cell>
          <cell r="D145">
            <v>20.116110981595</v>
          </cell>
          <cell r="F145">
            <v>5.2679013065694198</v>
          </cell>
          <cell r="G145">
            <v>212.637963702664</v>
          </cell>
        </row>
        <row r="146">
          <cell r="B146">
            <v>131.944501713873</v>
          </cell>
          <cell r="C146">
            <v>59.708415100788002</v>
          </cell>
          <cell r="D146">
            <v>20.751477395259499</v>
          </cell>
          <cell r="F146">
            <v>5.3496923568037298</v>
          </cell>
          <cell r="G146">
            <v>217.754086566724</v>
          </cell>
        </row>
        <row r="147">
          <cell r="B147">
            <v>134.33269996333701</v>
          </cell>
          <cell r="C147">
            <v>60.670862785652901</v>
          </cell>
          <cell r="D147">
            <v>20.9033296603452</v>
          </cell>
          <cell r="F147">
            <v>5.46611136562856</v>
          </cell>
          <cell r="G147">
            <v>221.37300377496399</v>
          </cell>
        </row>
        <row r="148">
          <cell r="B148">
            <v>139.345201867664</v>
          </cell>
          <cell r="C148">
            <v>61.856035063091596</v>
          </cell>
          <cell r="D148">
            <v>21.486458011862901</v>
          </cell>
          <cell r="F148">
            <v>5.5508230109838497</v>
          </cell>
          <cell r="G148">
            <v>228.23851795360301</v>
          </cell>
        </row>
        <row r="149">
          <cell r="B149">
            <v>142.51663283205599</v>
          </cell>
          <cell r="C149">
            <v>62.8767706999163</v>
          </cell>
          <cell r="D149">
            <v>18.694614715439201</v>
          </cell>
          <cell r="F149">
            <v>5.6004982544674702</v>
          </cell>
          <cell r="G149">
            <v>229.68851650187901</v>
          </cell>
        </row>
        <row r="150">
          <cell r="B150">
            <v>140.94158307318398</v>
          </cell>
          <cell r="C150">
            <v>63.1641596750489</v>
          </cell>
          <cell r="D150">
            <v>19.098214232334499</v>
          </cell>
          <cell r="F150">
            <v>5.5986724906463499</v>
          </cell>
          <cell r="G150">
            <v>228.80262947121398</v>
          </cell>
        </row>
        <row r="151">
          <cell r="B151">
            <v>143.06004927431601</v>
          </cell>
          <cell r="C151">
            <v>63.726793622506399</v>
          </cell>
          <cell r="D151">
            <v>19.572155185130001</v>
          </cell>
          <cell r="F151">
            <v>6.3291160740093799</v>
          </cell>
          <cell r="G151">
            <v>232.68811415596201</v>
          </cell>
        </row>
        <row r="152">
          <cell r="B152">
            <v>144.842094410774</v>
          </cell>
          <cell r="C152">
            <v>64.580045374880598</v>
          </cell>
          <cell r="D152">
            <v>20.166999556059398</v>
          </cell>
          <cell r="F152">
            <v>6.4198521938646005</v>
          </cell>
          <cell r="G152">
            <v>236.00899153557799</v>
          </cell>
        </row>
        <row r="153">
          <cell r="B153">
            <v>146.38435204361701</v>
          </cell>
          <cell r="C153">
            <v>65.844696741529191</v>
          </cell>
          <cell r="D153">
            <v>20.699837399638803</v>
          </cell>
          <cell r="F153">
            <v>6.5166336254179598</v>
          </cell>
          <cell r="G153">
            <v>239.445519810202</v>
          </cell>
        </row>
        <row r="154">
          <cell r="B154">
            <v>149.319099694014</v>
          </cell>
          <cell r="C154">
            <v>67.721229756675598</v>
          </cell>
          <cell r="D154">
            <v>21.3979901036396</v>
          </cell>
          <cell r="F154">
            <v>6.6318220251028608</v>
          </cell>
          <cell r="G154">
            <v>245.070141579432</v>
          </cell>
        </row>
        <row r="155">
          <cell r="B155">
            <v>150.59466685098201</v>
          </cell>
          <cell r="C155">
            <v>69.032895234904913</v>
          </cell>
          <cell r="D155">
            <v>21.746070117684397</v>
          </cell>
          <cell r="F155">
            <v>6.7367041375350203</v>
          </cell>
          <cell r="G155">
            <v>248.110336341107</v>
          </cell>
        </row>
        <row r="156">
          <cell r="B156">
            <v>152.35755135420499</v>
          </cell>
          <cell r="C156">
            <v>70.164031486748001</v>
          </cell>
          <cell r="D156">
            <v>22.327304853100497</v>
          </cell>
          <cell r="F156">
            <v>6.8465444306974801</v>
          </cell>
          <cell r="G156">
            <v>251.69543212475099</v>
          </cell>
        </row>
        <row r="157">
          <cell r="B157">
            <v>154.50164692581501</v>
          </cell>
          <cell r="C157">
            <v>71.507090626386699</v>
          </cell>
          <cell r="D157">
            <v>23.043252872119499</v>
          </cell>
          <cell r="F157">
            <v>7.0048169984172199</v>
          </cell>
          <cell r="G157">
            <v>256.05680742273904</v>
          </cell>
        </row>
        <row r="158">
          <cell r="B158">
            <v>157.77888502263599</v>
          </cell>
          <cell r="C158">
            <v>72.613476277108902</v>
          </cell>
          <cell r="D158">
            <v>23.281868587056501</v>
          </cell>
          <cell r="F158">
            <v>7.1450076613910802</v>
          </cell>
          <cell r="G158">
            <v>260.81923754819297</v>
          </cell>
        </row>
        <row r="159">
          <cell r="B159">
            <v>158.754536965271</v>
          </cell>
          <cell r="C159">
            <v>73.719061965247192</v>
          </cell>
          <cell r="D159">
            <v>23.9204605592398</v>
          </cell>
          <cell r="F159">
            <v>7.3273628998942302</v>
          </cell>
          <cell r="G159">
            <v>263.72142238965199</v>
          </cell>
        </row>
        <row r="160">
          <cell r="B160">
            <v>163.95803311669101</v>
          </cell>
          <cell r="C160">
            <v>75.135921056082395</v>
          </cell>
          <cell r="D160">
            <v>24.097878597943598</v>
          </cell>
          <cell r="F160">
            <v>7.4560317807014798</v>
          </cell>
          <cell r="G160">
            <v>270.64786455141802</v>
          </cell>
        </row>
        <row r="161">
          <cell r="B161">
            <v>164.07250087836499</v>
          </cell>
          <cell r="C161">
            <v>76.238961498062608</v>
          </cell>
          <cell r="D161">
            <v>24.706184587013901</v>
          </cell>
          <cell r="F161">
            <v>7.5110078879721804</v>
          </cell>
          <cell r="G161">
            <v>272.52865485141399</v>
          </cell>
        </row>
        <row r="162">
          <cell r="B162">
            <v>161.69669585433402</v>
          </cell>
          <cell r="C162">
            <v>76.497302449288412</v>
          </cell>
          <cell r="D162">
            <v>25.094236064701199</v>
          </cell>
          <cell r="F162">
            <v>7.5437341207758699</v>
          </cell>
          <cell r="G162">
            <v>270.83196848909898</v>
          </cell>
        </row>
        <row r="163">
          <cell r="B163">
            <v>161.91985471317003</v>
          </cell>
          <cell r="C163">
            <v>77.152052190738303</v>
          </cell>
          <cell r="D163">
            <v>25.020767644564202</v>
          </cell>
          <cell r="F163">
            <v>7.5735843461466201</v>
          </cell>
          <cell r="G163">
            <v>271.66625889461898</v>
          </cell>
        </row>
        <row r="164">
          <cell r="B164">
            <v>163.354886529352</v>
          </cell>
          <cell r="C164">
            <v>78.262781873773307</v>
          </cell>
          <cell r="D164">
            <v>25.618039859966597</v>
          </cell>
          <cell r="F164">
            <v>7.6703931281725506</v>
          </cell>
          <cell r="G164">
            <v>274.90610139126397</v>
          </cell>
        </row>
        <row r="165">
          <cell r="B165">
            <v>164.74333944761</v>
          </cell>
          <cell r="C165">
            <v>79.325320201075897</v>
          </cell>
          <cell r="D165">
            <v>26.1329272806157</v>
          </cell>
          <cell r="F165">
            <v>7.72136786895065</v>
          </cell>
          <cell r="G165">
            <v>277.92295479825299</v>
          </cell>
        </row>
        <row r="166">
          <cell r="B166">
            <v>167.01749712634202</v>
          </cell>
          <cell r="C166">
            <v>80.415472507906401</v>
          </cell>
          <cell r="D166">
            <v>26.2400307711343</v>
          </cell>
          <cell r="F166">
            <v>7.8154437151097005</v>
          </cell>
          <cell r="G166">
            <v>281.488444120493</v>
          </cell>
        </row>
        <row r="167">
          <cell r="B167">
            <v>168.46534996057198</v>
          </cell>
          <cell r="C167">
            <v>81.353564364183299</v>
          </cell>
          <cell r="D167">
            <v>26.780344795436797</v>
          </cell>
          <cell r="F167">
            <v>7.9397057073809902</v>
          </cell>
          <cell r="G167">
            <v>284.53896482757301</v>
          </cell>
        </row>
        <row r="168">
          <cell r="B168">
            <v>170.38273412657401</v>
          </cell>
          <cell r="C168">
            <v>82.384281930317798</v>
          </cell>
          <cell r="D168">
            <v>26.480173948194899</v>
          </cell>
          <cell r="F168">
            <v>8.08088473210762</v>
          </cell>
          <cell r="G168">
            <v>287.32807473719396</v>
          </cell>
        </row>
        <row r="169">
          <cell r="B169">
            <v>171.22938642486898</v>
          </cell>
          <cell r="C169">
            <v>83.479098768195101</v>
          </cell>
          <cell r="D169">
            <v>26.749830924200502</v>
          </cell>
          <cell r="F169">
            <v>8.2485731341103889</v>
          </cell>
          <cell r="G169">
            <v>289.706889251375</v>
          </cell>
        </row>
        <row r="170">
          <cell r="B170">
            <v>172.23179555862799</v>
          </cell>
          <cell r="C170">
            <v>84.150248767366804</v>
          </cell>
          <cell r="D170">
            <v>27.3157768424994</v>
          </cell>
          <cell r="F170">
            <v>8.3891170414000094</v>
          </cell>
          <cell r="G170">
            <v>292.08693820989396</v>
          </cell>
        </row>
        <row r="171">
          <cell r="B171">
            <v>173.836440146954</v>
          </cell>
          <cell r="C171">
            <v>85.135066965804896</v>
          </cell>
          <cell r="D171">
            <v>27.9092203959015</v>
          </cell>
          <cell r="F171">
            <v>8.5700501521880206</v>
          </cell>
          <cell r="G171">
            <v>295.45077766084898</v>
          </cell>
        </row>
        <row r="172">
          <cell r="B172">
            <v>178.22536632477801</v>
          </cell>
          <cell r="C172">
            <v>86.443972017299387</v>
          </cell>
          <cell r="D172">
            <v>28.638039581476502</v>
          </cell>
          <cell r="F172">
            <v>8.7020376966386301</v>
          </cell>
          <cell r="G172">
            <v>302.00941562019204</v>
          </cell>
        </row>
        <row r="173">
          <cell r="B173">
            <v>181.230674340658</v>
          </cell>
          <cell r="C173">
            <v>87.2642321488687</v>
          </cell>
          <cell r="D173">
            <v>29.3240294951461</v>
          </cell>
          <cell r="F173">
            <v>8.7815132143266599</v>
          </cell>
          <cell r="G173">
            <v>306.60044919900002</v>
          </cell>
        </row>
        <row r="174">
          <cell r="B174">
            <v>179.93855062714999</v>
          </cell>
          <cell r="C174">
            <v>87.483983531509296</v>
          </cell>
          <cell r="D174">
            <v>29.7320922271937</v>
          </cell>
          <cell r="F174">
            <v>8.8304479337899</v>
          </cell>
          <cell r="G174">
            <v>305.98507431964299</v>
          </cell>
        </row>
        <row r="175">
          <cell r="B175">
            <v>180.520454931014</v>
          </cell>
          <cell r="C175">
            <v>87.6140125283207</v>
          </cell>
          <cell r="D175">
            <v>30.098683666005698</v>
          </cell>
          <cell r="F175">
            <v>8.8682295029539517</v>
          </cell>
          <cell r="G175">
            <v>307.10138062829498</v>
          </cell>
        </row>
        <row r="176">
          <cell r="B176">
            <v>181.71940200897299</v>
          </cell>
          <cell r="C176">
            <v>88.071199204868705</v>
          </cell>
          <cell r="D176">
            <v>30.570801409275003</v>
          </cell>
          <cell r="F176">
            <v>8.94069825670028</v>
          </cell>
          <cell r="G176">
            <v>309.30210087981703</v>
          </cell>
        </row>
        <row r="177">
          <cell r="B177">
            <v>183.542679674948</v>
          </cell>
          <cell r="C177">
            <v>88.856601077511399</v>
          </cell>
          <cell r="D177">
            <v>31.151851755783401</v>
          </cell>
          <cell r="F177">
            <v>9.0834478859739214</v>
          </cell>
          <cell r="G177">
            <v>312.63458039421698</v>
          </cell>
        </row>
        <row r="178">
          <cell r="B178">
            <v>186.45657045048199</v>
          </cell>
          <cell r="C178">
            <v>89.476198812573898</v>
          </cell>
          <cell r="D178">
            <v>31.455614395506998</v>
          </cell>
          <cell r="F178">
            <v>9.2220904906484602</v>
          </cell>
          <cell r="G178">
            <v>316.61047414921097</v>
          </cell>
        </row>
        <row r="179">
          <cell r="B179">
            <v>190.079333250806</v>
          </cell>
          <cell r="C179">
            <v>89.886156266966793</v>
          </cell>
          <cell r="D179">
            <v>32.165601338776099</v>
          </cell>
          <cell r="F179">
            <v>9.3178607305601684</v>
          </cell>
          <cell r="G179">
            <v>321.44895158710904</v>
          </cell>
        </row>
        <row r="180">
          <cell r="B180">
            <v>190.230659563556</v>
          </cell>
          <cell r="C180">
            <v>90.8996389156828</v>
          </cell>
          <cell r="D180">
            <v>33.139067611972102</v>
          </cell>
          <cell r="F180">
            <v>9.4979588024050408</v>
          </cell>
          <cell r="G180">
            <v>323.76732489361603</v>
          </cell>
        </row>
        <row r="181">
          <cell r="B181">
            <v>192.246652814686</v>
          </cell>
          <cell r="C181">
            <v>91.826415121644601</v>
          </cell>
          <cell r="D181">
            <v>33.884620107491898</v>
          </cell>
          <cell r="F181">
            <v>9.6322199966812594</v>
          </cell>
          <cell r="G181">
            <v>327.58990804050404</v>
          </cell>
        </row>
        <row r="182">
          <cell r="B182">
            <v>194.03449170150202</v>
          </cell>
          <cell r="C182">
            <v>92.632973014561998</v>
          </cell>
          <cell r="D182">
            <v>34.6806735714704</v>
          </cell>
          <cell r="F182">
            <v>9.7692520720641802</v>
          </cell>
          <cell r="G182">
            <v>331.11739035959801</v>
          </cell>
        </row>
        <row r="183">
          <cell r="B183">
            <v>194.33931767830899</v>
          </cell>
          <cell r="C183">
            <v>93.657917524258693</v>
          </cell>
          <cell r="D183">
            <v>35.687624454723398</v>
          </cell>
          <cell r="F183">
            <v>9.78510005601796</v>
          </cell>
          <cell r="G183">
            <v>333.46995971330904</v>
          </cell>
        </row>
        <row r="184">
          <cell r="B184">
            <v>196.73216661013902</v>
          </cell>
          <cell r="C184">
            <v>94.765509966347508</v>
          </cell>
          <cell r="D184">
            <v>36.648390672730798</v>
          </cell>
          <cell r="F184">
            <v>9.94395605765739</v>
          </cell>
          <cell r="G184">
            <v>338.09002330687503</v>
          </cell>
        </row>
        <row r="185">
          <cell r="B185">
            <v>197.20747258649399</v>
          </cell>
          <cell r="C185">
            <v>95.408675686975002</v>
          </cell>
          <cell r="D185">
            <v>37.429896572971394</v>
          </cell>
          <cell r="F185">
            <v>10.0667129812337</v>
          </cell>
          <cell r="G185">
            <v>340.11275782767399</v>
          </cell>
        </row>
        <row r="186">
          <cell r="B186">
            <v>197.483627066201</v>
          </cell>
          <cell r="C186">
            <v>95.451725761811801</v>
          </cell>
          <cell r="D186">
            <v>37.956027622934094</v>
          </cell>
          <cell r="F186">
            <v>10.0328293497926</v>
          </cell>
          <cell r="G186">
            <v>340.92420980073899</v>
          </cell>
        </row>
        <row r="187">
          <cell r="B187">
            <v>199.27603932999301</v>
          </cell>
          <cell r="C187">
            <v>95.387385577721204</v>
          </cell>
          <cell r="D187">
            <v>38.469967741950697</v>
          </cell>
          <cell r="F187">
            <v>10.011290626418301</v>
          </cell>
          <cell r="G187">
            <v>343.14468327608301</v>
          </cell>
        </row>
        <row r="188">
          <cell r="B188">
            <v>200.587467675429</v>
          </cell>
          <cell r="C188">
            <v>95.721454401854899</v>
          </cell>
          <cell r="D188">
            <v>39.002975507861699</v>
          </cell>
          <cell r="F188">
            <v>10.1141785086316</v>
          </cell>
          <cell r="G188">
            <v>345.426076093777</v>
          </cell>
        </row>
        <row r="189">
          <cell r="B189">
            <v>202.769702577635</v>
          </cell>
          <cell r="C189">
            <v>96.424446449705599</v>
          </cell>
          <cell r="D189">
            <v>39.600367607249702</v>
          </cell>
          <cell r="F189">
            <v>10.186362128275999</v>
          </cell>
          <cell r="G189">
            <v>348.98087876286604</v>
          </cell>
        </row>
        <row r="190">
          <cell r="B190">
            <v>205.29575961822698</v>
          </cell>
          <cell r="C190">
            <v>97.395244151388511</v>
          </cell>
          <cell r="D190">
            <v>40.378254869674201</v>
          </cell>
          <cell r="F190">
            <v>10.2820345295595</v>
          </cell>
          <cell r="G190">
            <v>353.351293168849</v>
          </cell>
        </row>
        <row r="191">
          <cell r="B191">
            <v>208.17178441379198</v>
          </cell>
          <cell r="C191">
            <v>97.914141730953006</v>
          </cell>
          <cell r="D191">
            <v>40.957415347740195</v>
          </cell>
          <cell r="F191">
            <v>10.326507124241301</v>
          </cell>
          <cell r="G191">
            <v>357.36984861672698</v>
          </cell>
        </row>
        <row r="192">
          <cell r="B192">
            <v>208.06770255104502</v>
          </cell>
          <cell r="C192">
            <v>98.902218941363699</v>
          </cell>
          <cell r="D192">
            <v>41.624166198418401</v>
          </cell>
          <cell r="F192">
            <v>10.419753037183799</v>
          </cell>
          <cell r="G192">
            <v>359.01384072801096</v>
          </cell>
        </row>
        <row r="193">
          <cell r="B193">
            <v>209.03604884838501</v>
          </cell>
          <cell r="C193">
            <v>99.846114933852093</v>
          </cell>
          <cell r="D193">
            <v>42.227383900663803</v>
          </cell>
          <cell r="F193">
            <v>10.493722057206</v>
          </cell>
          <cell r="G193">
            <v>361.60326974010701</v>
          </cell>
        </row>
        <row r="194">
          <cell r="B194">
            <v>210.18615694575101</v>
          </cell>
          <cell r="C194">
            <v>101.12887441476801</v>
          </cell>
          <cell r="D194">
            <v>42.329232826927594</v>
          </cell>
          <cell r="F194">
            <v>10.5914605300389</v>
          </cell>
          <cell r="G194">
            <v>364.23572471748605</v>
          </cell>
        </row>
        <row r="195">
          <cell r="B195">
            <v>211.46383315794299</v>
          </cell>
          <cell r="C195">
            <v>102.285947889995</v>
          </cell>
          <cell r="D195">
            <v>43.040214746131497</v>
          </cell>
          <cell r="F195">
            <v>10.663381544535</v>
          </cell>
          <cell r="G195">
            <v>367.45337733860401</v>
          </cell>
        </row>
        <row r="196">
          <cell r="B196">
            <v>216.65714553245903</v>
          </cell>
          <cell r="C196">
            <v>103.94232243500501</v>
          </cell>
          <cell r="D196">
            <v>43.633621029432604</v>
          </cell>
          <cell r="F196">
            <v>10.713151461393601</v>
          </cell>
          <cell r="G196">
            <v>374.94624045828999</v>
          </cell>
        </row>
        <row r="197">
          <cell r="B197">
            <v>220.61668570663699</v>
          </cell>
          <cell r="C197">
            <v>104.41614629941499</v>
          </cell>
          <cell r="D197">
            <v>43.781977043297502</v>
          </cell>
          <cell r="F197">
            <v>10.670145776197799</v>
          </cell>
          <cell r="G197">
            <v>379.48495482554796</v>
          </cell>
        </row>
        <row r="198">
          <cell r="B198">
            <v>225.55956551495902</v>
          </cell>
          <cell r="C198">
            <v>104.218115950746</v>
          </cell>
          <cell r="D198">
            <v>44.054754996665295</v>
          </cell>
          <cell r="F198">
            <v>10.619155384002701</v>
          </cell>
          <cell r="G198">
            <v>384.45159184637203</v>
          </cell>
        </row>
        <row r="199">
          <cell r="B199">
            <v>227.360177801845</v>
          </cell>
          <cell r="C199">
            <v>103.98405986763001</v>
          </cell>
          <cell r="D199">
            <v>44.253730762661</v>
          </cell>
          <cell r="F199">
            <v>11.644826190831301</v>
          </cell>
          <cell r="G199">
            <v>387.24279462296801</v>
          </cell>
        </row>
        <row r="200">
          <cell r="B200">
            <v>229.22704514298499</v>
          </cell>
          <cell r="C200">
            <v>104.759823443225</v>
          </cell>
          <cell r="D200">
            <v>44.733903285855099</v>
          </cell>
          <cell r="F200">
            <v>11.675587557196801</v>
          </cell>
          <cell r="G200">
            <v>390.39635942926202</v>
          </cell>
        </row>
        <row r="201">
          <cell r="B201">
            <v>228.37363763782</v>
          </cell>
          <cell r="C201">
            <v>105.364985440767</v>
          </cell>
          <cell r="D201">
            <v>45.2456825957265</v>
          </cell>
          <cell r="F201">
            <v>11.715949398117001</v>
          </cell>
          <cell r="G201">
            <v>390.70025507242997</v>
          </cell>
        </row>
        <row r="202">
          <cell r="B202">
            <v>232.264411747369</v>
          </cell>
          <cell r="C202">
            <v>105.910533352231</v>
          </cell>
          <cell r="D202">
            <v>45.727419806750603</v>
          </cell>
          <cell r="F202">
            <v>11.6937315577267</v>
          </cell>
          <cell r="G202">
            <v>395.59609646407705</v>
          </cell>
        </row>
        <row r="203">
          <cell r="B203">
            <v>235.46721669779501</v>
          </cell>
          <cell r="C203">
            <v>107.35463970705401</v>
          </cell>
          <cell r="D203">
            <v>45.843517686157895</v>
          </cell>
          <cell r="F203">
            <v>11.724154210694099</v>
          </cell>
          <cell r="G203">
            <v>400.38952830170098</v>
          </cell>
        </row>
        <row r="204">
          <cell r="B204">
            <v>239.04843893907599</v>
          </cell>
          <cell r="C204">
            <v>107.94605222438601</v>
          </cell>
          <cell r="D204">
            <v>46.443058107299002</v>
          </cell>
          <cell r="F204">
            <v>11.7620066348356</v>
          </cell>
          <cell r="G204">
            <v>405.19955590559601</v>
          </cell>
        </row>
        <row r="205">
          <cell r="B205">
            <v>245.841279268553</v>
          </cell>
          <cell r="C205">
            <v>108.555837834814</v>
          </cell>
          <cell r="D205">
            <v>46.952374305913899</v>
          </cell>
          <cell r="F205">
            <v>11.704979209710601</v>
          </cell>
          <cell r="G205">
            <v>413.05447061899105</v>
          </cell>
        </row>
        <row r="206">
          <cell r="B206">
            <v>244.813731897075</v>
          </cell>
          <cell r="C206">
            <v>109.16975361553999</v>
          </cell>
          <cell r="D206">
            <v>47.5793670609185</v>
          </cell>
          <cell r="F206">
            <v>11.728228554647</v>
          </cell>
          <cell r="G206">
            <v>413.29108112818</v>
          </cell>
        </row>
        <row r="207">
          <cell r="B207">
            <v>245.21251571482199</v>
          </cell>
          <cell r="C207">
            <v>109.80223071491001</v>
          </cell>
          <cell r="D207">
            <v>47.7152964664362</v>
          </cell>
          <cell r="F207">
            <v>11.7588898312386</v>
          </cell>
          <cell r="G207">
            <v>414.488932727406</v>
          </cell>
        </row>
        <row r="208">
          <cell r="B208">
            <v>248.16508500916299</v>
          </cell>
          <cell r="C208">
            <v>110.632156976926</v>
          </cell>
          <cell r="D208">
            <v>48.384799118688001</v>
          </cell>
          <cell r="F208">
            <v>11.7630572090433</v>
          </cell>
          <cell r="G208">
            <v>418.94509831381998</v>
          </cell>
        </row>
        <row r="209">
          <cell r="B209">
            <v>246.92165528624702</v>
          </cell>
          <cell r="C209">
            <v>111.025645656366</v>
          </cell>
          <cell r="D209">
            <v>48.986771531574995</v>
          </cell>
          <cell r="F209">
            <v>11.697530733228799</v>
          </cell>
          <cell r="G209">
            <v>418.63160320741599</v>
          </cell>
        </row>
        <row r="210">
          <cell r="B210">
            <v>246.57209507599501</v>
          </cell>
          <cell r="C210">
            <v>110.44213611137801</v>
          </cell>
          <cell r="D210">
            <v>49.079539083256897</v>
          </cell>
          <cell r="F210">
            <v>11.584845979715299</v>
          </cell>
          <cell r="G210">
            <v>417.67861625034601</v>
          </cell>
        </row>
        <row r="211">
          <cell r="B211">
            <v>247.93289576661201</v>
          </cell>
          <cell r="C211">
            <v>109.901414022583</v>
          </cell>
          <cell r="D211">
            <v>48.446081653515996</v>
          </cell>
          <cell r="F211">
            <v>11.492244435308301</v>
          </cell>
          <cell r="G211">
            <v>417.772635878019</v>
          </cell>
        </row>
        <row r="212">
          <cell r="B212">
            <v>244.733038384781</v>
          </cell>
          <cell r="C212">
            <v>109.884092330627</v>
          </cell>
          <cell r="D212">
            <v>48.753463561629999</v>
          </cell>
          <cell r="F212">
            <v>11.437516147001801</v>
          </cell>
          <cell r="G212">
            <v>414.80811042403997</v>
          </cell>
        </row>
        <row r="213">
          <cell r="B213">
            <v>244.72933138812999</v>
          </cell>
          <cell r="C213">
            <v>110.902573733163</v>
          </cell>
          <cell r="D213">
            <v>49.379086547257799</v>
          </cell>
          <cell r="F213">
            <v>11.5295197157769</v>
          </cell>
          <cell r="G213">
            <v>416.54051138432703</v>
          </cell>
        </row>
        <row r="214">
          <cell r="B214">
            <v>247.26131322370301</v>
          </cell>
          <cell r="C214">
            <v>111.66511300374201</v>
          </cell>
          <cell r="D214">
            <v>49.817250593742997</v>
          </cell>
          <cell r="F214">
            <v>11.542468063945901</v>
          </cell>
          <cell r="G214">
            <v>420.286144885135</v>
          </cell>
        </row>
        <row r="215">
          <cell r="B215">
            <v>245.629397655828</v>
          </cell>
          <cell r="C215">
            <v>112.828147877348</v>
          </cell>
          <cell r="D215">
            <v>50.236908073470296</v>
          </cell>
          <cell r="F215">
            <v>11.518177557508899</v>
          </cell>
          <cell r="G215">
            <v>420.21263116415503</v>
          </cell>
        </row>
        <row r="216">
          <cell r="B216">
            <v>247.449530746238</v>
          </cell>
          <cell r="C216">
            <v>113.525247566999</v>
          </cell>
          <cell r="D216">
            <v>50.710618339803496</v>
          </cell>
          <cell r="F216">
            <v>11.562323251424401</v>
          </cell>
          <cell r="G216">
            <v>423.24771990446504</v>
          </cell>
        </row>
        <row r="217">
          <cell r="B217">
            <v>246.48578917038199</v>
          </cell>
          <cell r="C217">
            <v>114.666337923133</v>
          </cell>
          <cell r="D217">
            <v>51.272129841528297</v>
          </cell>
          <cell r="F217">
            <v>11.6886485969051</v>
          </cell>
          <cell r="G217">
            <v>424.112905531948</v>
          </cell>
        </row>
        <row r="218">
          <cell r="B218">
            <v>245.57403599582801</v>
          </cell>
          <cell r="C218">
            <v>115.63623612805</v>
          </cell>
          <cell r="D218">
            <v>51.330785782288999</v>
          </cell>
          <cell r="F218">
            <v>11.770948255607999</v>
          </cell>
          <cell r="G218">
            <v>424.312006161775</v>
          </cell>
        </row>
        <row r="219">
          <cell r="B219">
            <v>245.46334711591101</v>
          </cell>
          <cell r="C219">
            <v>116.84704228822599</v>
          </cell>
          <cell r="D219">
            <v>51.923427082083506</v>
          </cell>
          <cell r="F219">
            <v>11.8185148545709</v>
          </cell>
          <cell r="G219">
            <v>426.05233134079197</v>
          </cell>
        </row>
        <row r="220">
          <cell r="B220">
            <v>247.369318162779</v>
          </cell>
          <cell r="C220">
            <v>118.601169824933</v>
          </cell>
          <cell r="D220">
            <v>52.225752537414898</v>
          </cell>
          <cell r="F220">
            <v>11.8737855091257</v>
          </cell>
          <cell r="G220">
            <v>430.07002603425201</v>
          </cell>
        </row>
        <row r="221">
          <cell r="B221">
            <v>244.514384418639</v>
          </cell>
          <cell r="C221">
            <v>119.52267038684501</v>
          </cell>
          <cell r="D221">
            <v>52.883482739526201</v>
          </cell>
          <cell r="F221">
            <v>11.8674554366943</v>
          </cell>
          <cell r="G221">
            <v>428.78799298170503</v>
          </cell>
        </row>
        <row r="222">
          <cell r="B222">
            <v>240.12486621470802</v>
          </cell>
          <cell r="C222">
            <v>119.08297646748399</v>
          </cell>
          <cell r="D222">
            <v>52.692797273433996</v>
          </cell>
          <cell r="F222">
            <v>11.815193107047198</v>
          </cell>
          <cell r="G222">
            <v>423.71583306267297</v>
          </cell>
        </row>
        <row r="223">
          <cell r="B223">
            <v>239.869878921474</v>
          </cell>
          <cell r="C223">
            <v>118.50505067888001</v>
          </cell>
          <cell r="D223">
            <v>52.820431776152496</v>
          </cell>
          <cell r="F223">
            <v>11.756946792949101</v>
          </cell>
          <cell r="G223">
            <v>422.95230816945599</v>
          </cell>
        </row>
        <row r="224">
          <cell r="B224">
            <v>239.47130315649099</v>
          </cell>
          <cell r="C224">
            <v>118.80920546546101</v>
          </cell>
          <cell r="D224">
            <v>52.736639560013103</v>
          </cell>
          <cell r="F224">
            <v>11.762420237296601</v>
          </cell>
          <cell r="G224">
            <v>422.77956841926203</v>
          </cell>
        </row>
        <row r="225">
          <cell r="B225">
            <v>240.11782267830898</v>
          </cell>
          <cell r="C225">
            <v>118.835000103927</v>
          </cell>
          <cell r="D225">
            <v>52.904730170529504</v>
          </cell>
          <cell r="F225">
            <v>11.739689603105699</v>
          </cell>
          <cell r="G225">
            <v>423.59724255587201</v>
          </cell>
        </row>
        <row r="226">
          <cell r="B226">
            <v>240.54543344103601</v>
          </cell>
          <cell r="C226">
            <v>119.78810704507899</v>
          </cell>
          <cell r="D226">
            <v>53.321219191264397</v>
          </cell>
          <cell r="F226">
            <v>11.7563082010361</v>
          </cell>
          <cell r="G226">
            <v>425.41106787841602</v>
          </cell>
        </row>
        <row r="227">
          <cell r="B227">
            <v>242.69135367536899</v>
          </cell>
          <cell r="C227">
            <v>120.520906764697</v>
          </cell>
          <cell r="D227">
            <v>53.304219179124495</v>
          </cell>
          <cell r="F227">
            <v>11.897279166870701</v>
          </cell>
          <cell r="G227">
            <v>428.41375878606095</v>
          </cell>
        </row>
        <row r="228">
          <cell r="B228">
            <v>241.72647416675699</v>
          </cell>
          <cell r="C228">
            <v>121.414773991636</v>
          </cell>
          <cell r="D228">
            <v>53.8377915733329</v>
          </cell>
          <cell r="F228">
            <v>12.014878336306401</v>
          </cell>
          <cell r="G228">
            <v>428.99391806803197</v>
          </cell>
        </row>
        <row r="229">
          <cell r="B229">
            <v>240.46649677685102</v>
          </cell>
          <cell r="C229">
            <v>122.01731695919401</v>
          </cell>
          <cell r="D229">
            <v>54.333061722555101</v>
          </cell>
          <cell r="F229">
            <v>12.0905403670121</v>
          </cell>
          <cell r="G229">
            <v>428.90741582561299</v>
          </cell>
        </row>
        <row r="230">
          <cell r="B230">
            <v>241.392912076481</v>
          </cell>
          <cell r="C230">
            <v>122.79134827163499</v>
          </cell>
          <cell r="D230">
            <v>54.865411412733401</v>
          </cell>
          <cell r="F230">
            <v>12.160441827285801</v>
          </cell>
          <cell r="G230">
            <v>431.21011358813502</v>
          </cell>
        </row>
        <row r="231">
          <cell r="B231">
            <v>241.27847421988102</v>
          </cell>
          <cell r="C231">
            <v>123.67353559707401</v>
          </cell>
          <cell r="D231">
            <v>55.297225384336997</v>
          </cell>
          <cell r="F231">
            <v>12.167854894839001</v>
          </cell>
          <cell r="G231">
            <v>432.41709009613203</v>
          </cell>
        </row>
        <row r="232">
          <cell r="B232">
            <v>241.410064461459</v>
          </cell>
          <cell r="C232">
            <v>125.071879447171</v>
          </cell>
          <cell r="D232">
            <v>55.516038643492898</v>
          </cell>
          <cell r="F232">
            <v>12.2114702288104</v>
          </cell>
          <cell r="G232">
            <v>434.20945278093404</v>
          </cell>
        </row>
        <row r="233">
          <cell r="B233">
            <v>240.59679791282801</v>
          </cell>
          <cell r="C233">
            <v>124.85026577160201</v>
          </cell>
          <cell r="D233">
            <v>56.0932477116868</v>
          </cell>
          <cell r="F233">
            <v>12.1762672033983</v>
          </cell>
          <cell r="G233">
            <v>433.716578599515</v>
          </cell>
        </row>
        <row r="234">
          <cell r="B234">
            <v>237.40897685752898</v>
          </cell>
          <cell r="C234">
            <v>124.45394707988901</v>
          </cell>
          <cell r="D234">
            <v>56.045847737765001</v>
          </cell>
          <cell r="F234">
            <v>12.149910265354</v>
          </cell>
          <cell r="G234">
            <v>430.05868194053699</v>
          </cell>
        </row>
      </sheetData>
      <sheetData sheetId="3"/>
      <sheetData sheetId="4"/>
      <sheetData sheetId="5">
        <row r="4">
          <cell r="B4">
            <v>14.417011088993</v>
          </cell>
          <cell r="C4">
            <v>1.1769260593394202</v>
          </cell>
          <cell r="D4">
            <v>7.6463115234313097</v>
          </cell>
          <cell r="E4">
            <v>1.6854632137650798E-2</v>
          </cell>
          <cell r="F4">
            <v>23.257103303901381</v>
          </cell>
        </row>
        <row r="5">
          <cell r="B5">
            <v>14.596093645456699</v>
          </cell>
          <cell r="C5">
            <v>1.2588139181879201</v>
          </cell>
          <cell r="D5">
            <v>7.46959232143882</v>
          </cell>
          <cell r="E5">
            <v>1.75650129857698E-2</v>
          </cell>
          <cell r="F5">
            <v>23.342064898069211</v>
          </cell>
        </row>
        <row r="6">
          <cell r="B6">
            <v>14.857177881393699</v>
          </cell>
          <cell r="C6">
            <v>1.3689938681503402</v>
          </cell>
          <cell r="D6">
            <v>7.3782418549675599</v>
          </cell>
          <cell r="E6">
            <v>2.18698415915838E-2</v>
          </cell>
          <cell r="F6">
            <v>23.626283446103184</v>
          </cell>
        </row>
        <row r="7">
          <cell r="B7">
            <v>14.511552557986999</v>
          </cell>
          <cell r="C7">
            <v>1.3197327044136802</v>
          </cell>
          <cell r="D7">
            <v>7.40425763600288</v>
          </cell>
          <cell r="E7">
            <v>2.09930603862966E-2</v>
          </cell>
          <cell r="F7">
            <v>23.256535958789854</v>
          </cell>
        </row>
        <row r="8">
          <cell r="B8">
            <v>13.944039452205899</v>
          </cell>
          <cell r="C8">
            <v>1.29206960835651</v>
          </cell>
          <cell r="D8">
            <v>7.3698896076872105</v>
          </cell>
          <cell r="E8">
            <v>2.1170092497970999E-2</v>
          </cell>
          <cell r="F8">
            <v>22.62716876074759</v>
          </cell>
        </row>
        <row r="9">
          <cell r="B9">
            <v>13.3786393721671</v>
          </cell>
          <cell r="C9">
            <v>1.2482664436622701</v>
          </cell>
          <cell r="D9">
            <v>7.3257089622417402</v>
          </cell>
          <cell r="E9">
            <v>2.1260131538814002E-2</v>
          </cell>
          <cell r="F9">
            <v>21.973874909609926</v>
          </cell>
        </row>
        <row r="10">
          <cell r="B10">
            <v>13.3643498118126</v>
          </cell>
          <cell r="C10">
            <v>1.2571009895408101</v>
          </cell>
          <cell r="D10">
            <v>7.2435428527770993</v>
          </cell>
          <cell r="E10">
            <v>2.2540465259200899E-2</v>
          </cell>
          <cell r="F10">
            <v>21.887534119389709</v>
          </cell>
        </row>
        <row r="11">
          <cell r="B11">
            <v>13.163695462732999</v>
          </cell>
          <cell r="C11">
            <v>1.2474633739684802</v>
          </cell>
          <cell r="D11">
            <v>7.1390718144687595</v>
          </cell>
          <cell r="E11">
            <v>6.2918482124085795E-2</v>
          </cell>
          <cell r="F11">
            <v>21.613149133294325</v>
          </cell>
        </row>
        <row r="12">
          <cell r="B12">
            <v>12.2343984235861</v>
          </cell>
          <cell r="C12">
            <v>1.24993840060984</v>
          </cell>
          <cell r="D12">
            <v>6.9494987108541402</v>
          </cell>
          <cell r="E12">
            <v>6.3862570274910505E-2</v>
          </cell>
          <cell r="F12">
            <v>20.497698105324989</v>
          </cell>
        </row>
        <row r="13">
          <cell r="B13">
            <v>12.363631111937799</v>
          </cell>
          <cell r="C13">
            <v>1.2531085432485001</v>
          </cell>
          <cell r="D13">
            <v>6.8361966036259094</v>
          </cell>
          <cell r="E13">
            <v>6.7931352924970809E-2</v>
          </cell>
          <cell r="F13">
            <v>20.520867611737181</v>
          </cell>
        </row>
        <row r="14">
          <cell r="B14">
            <v>12.1401814160009</v>
          </cell>
          <cell r="C14">
            <v>1.29509023912511</v>
          </cell>
          <cell r="D14">
            <v>6.7917885660052795</v>
          </cell>
          <cell r="E14">
            <v>6.7883250575072898E-2</v>
          </cell>
          <cell r="F14">
            <v>20.294943471706361</v>
          </cell>
        </row>
        <row r="15">
          <cell r="B15">
            <v>11.997393293468701</v>
          </cell>
          <cell r="C15">
            <v>1.19837132416445</v>
          </cell>
          <cell r="D15">
            <v>6.5906751618366295</v>
          </cell>
          <cell r="E15">
            <v>6.3948385993989096E-2</v>
          </cell>
          <cell r="F15">
            <v>19.850388165463769</v>
          </cell>
        </row>
        <row r="16">
          <cell r="B16">
            <v>11.881344703855399</v>
          </cell>
          <cell r="C16">
            <v>1.2167203869509999</v>
          </cell>
          <cell r="D16">
            <v>6.5461614477848897</v>
          </cell>
          <cell r="E16">
            <v>6.5515392426799199E-2</v>
          </cell>
          <cell r="F16">
            <v>19.70974193101809</v>
          </cell>
        </row>
        <row r="17">
          <cell r="B17">
            <v>11.2969235512686</v>
          </cell>
          <cell r="C17">
            <v>1.2858396435718902</v>
          </cell>
          <cell r="D17">
            <v>6.3129299133663395</v>
          </cell>
          <cell r="E17">
            <v>6.6596700713911605E-2</v>
          </cell>
          <cell r="F17">
            <v>18.96228980892074</v>
          </cell>
        </row>
        <row r="18">
          <cell r="B18">
            <v>11.0635811441255</v>
          </cell>
          <cell r="C18">
            <v>1.32195325976874</v>
          </cell>
          <cell r="D18">
            <v>6.3122610960571297</v>
          </cell>
          <cell r="E18">
            <v>6.3426336392180094E-2</v>
          </cell>
          <cell r="F18">
            <v>18.761221836343548</v>
          </cell>
        </row>
        <row r="19">
          <cell r="B19">
            <v>10.5468260970465</v>
          </cell>
          <cell r="C19">
            <v>1.3056593810322699</v>
          </cell>
          <cell r="D19">
            <v>6.2837430515924497</v>
          </cell>
          <cell r="E19">
            <v>5.8478854463953706E-2</v>
          </cell>
          <cell r="F19">
            <v>18.194707384135171</v>
          </cell>
        </row>
        <row r="20">
          <cell r="B20">
            <v>10.3265351538129</v>
          </cell>
          <cell r="C20">
            <v>1.2871673602215701</v>
          </cell>
          <cell r="D20">
            <v>6.2356413710421199</v>
          </cell>
          <cell r="E20">
            <v>5.7679060237539201E-2</v>
          </cell>
          <cell r="F20">
            <v>17.907022945314129</v>
          </cell>
        </row>
        <row r="21">
          <cell r="B21">
            <v>9.8466643383214389</v>
          </cell>
          <cell r="C21">
            <v>1.31025675509962</v>
          </cell>
          <cell r="D21">
            <v>6.1360600505877603</v>
          </cell>
          <cell r="E21">
            <v>5.8890853536374001E-2</v>
          </cell>
          <cell r="F21">
            <v>17.351871997545196</v>
          </cell>
        </row>
        <row r="22">
          <cell r="B22">
            <v>9.3226439828924814</v>
          </cell>
          <cell r="C22">
            <v>1.2070589573166399</v>
          </cell>
          <cell r="D22">
            <v>6.0240151128588799</v>
          </cell>
          <cell r="E22">
            <v>5.8225098078523302E-2</v>
          </cell>
          <cell r="F22">
            <v>16.611943151146527</v>
          </cell>
        </row>
        <row r="23">
          <cell r="B23">
            <v>9.3473117887032693</v>
          </cell>
          <cell r="C23">
            <v>1.2855971564244102</v>
          </cell>
          <cell r="D23">
            <v>6.0404684284242496</v>
          </cell>
          <cell r="E23">
            <v>5.9654557635049899E-2</v>
          </cell>
          <cell r="F23">
            <v>16.733031931186979</v>
          </cell>
        </row>
        <row r="24">
          <cell r="B24">
            <v>9.0767931796347803</v>
          </cell>
          <cell r="C24">
            <v>1.27311395101449</v>
          </cell>
          <cell r="D24">
            <v>5.9396486718865296</v>
          </cell>
          <cell r="E24">
            <v>5.7644400708875297E-2</v>
          </cell>
          <cell r="F24">
            <v>16.347200203244675</v>
          </cell>
        </row>
        <row r="25">
          <cell r="B25">
            <v>8.9026519098411594</v>
          </cell>
          <cell r="C25">
            <v>1.27236170690665</v>
          </cell>
          <cell r="D25">
            <v>5.8510976077893204</v>
          </cell>
          <cell r="E25">
            <v>6.0127139016758702E-2</v>
          </cell>
          <cell r="F25">
            <v>16.086238363553893</v>
          </cell>
        </row>
        <row r="26">
          <cell r="B26">
            <v>8.8999272806455494</v>
          </cell>
          <cell r="C26">
            <v>1.3807619596849698</v>
          </cell>
          <cell r="D26">
            <v>5.7999053126633102</v>
          </cell>
          <cell r="E26">
            <v>6.4174543711107201E-2</v>
          </cell>
          <cell r="F26">
            <v>16.144769096704938</v>
          </cell>
        </row>
        <row r="27">
          <cell r="B27">
            <v>8.6207848601652799</v>
          </cell>
          <cell r="C27">
            <v>1.2187911181028801</v>
          </cell>
          <cell r="D27">
            <v>5.3449915463507098</v>
          </cell>
          <cell r="E27">
            <v>6.27413270163929E-2</v>
          </cell>
          <cell r="F27">
            <v>15.247308851635264</v>
          </cell>
        </row>
        <row r="28">
          <cell r="B28">
            <v>8.7767637719714386</v>
          </cell>
          <cell r="C28">
            <v>1.28914850800666</v>
          </cell>
          <cell r="D28">
            <v>5.3232896401452505</v>
          </cell>
          <cell r="E28">
            <v>6.5662927175914598E-2</v>
          </cell>
          <cell r="F28">
            <v>15.454864847299262</v>
          </cell>
        </row>
        <row r="29">
          <cell r="B29">
            <v>8.5614080812058102</v>
          </cell>
          <cell r="C29">
            <v>1.3483980071524702</v>
          </cell>
          <cell r="D29">
            <v>5.1739575149872197</v>
          </cell>
          <cell r="E29">
            <v>6.7285573595537204E-2</v>
          </cell>
          <cell r="F29">
            <v>15.151049176941036</v>
          </cell>
        </row>
        <row r="30">
          <cell r="B30">
            <v>8.2530380676655106</v>
          </cell>
          <cell r="C30">
            <v>1.3400848084610399</v>
          </cell>
          <cell r="D30">
            <v>5.0948438313843702</v>
          </cell>
          <cell r="E30">
            <v>7.1470406179634405E-2</v>
          </cell>
          <cell r="F30">
            <v>14.759437113690554</v>
          </cell>
        </row>
        <row r="31">
          <cell r="B31">
            <v>8.1955384178518997</v>
          </cell>
          <cell r="C31">
            <v>1.38716612056455</v>
          </cell>
          <cell r="D31">
            <v>5.0452491792479801</v>
          </cell>
          <cell r="E31">
            <v>7.6398243374052793E-2</v>
          </cell>
          <cell r="F31">
            <v>14.704351961038483</v>
          </cell>
        </row>
        <row r="32">
          <cell r="B32">
            <v>8.4382757491551601</v>
          </cell>
          <cell r="C32">
            <v>1.4237185810981701</v>
          </cell>
          <cell r="D32">
            <v>4.8071996340398799</v>
          </cell>
          <cell r="E32">
            <v>8.0362707232606398E-2</v>
          </cell>
          <cell r="F32">
            <v>14.749556671525816</v>
          </cell>
        </row>
        <row r="33">
          <cell r="B33">
            <v>8.0930093346646004</v>
          </cell>
          <cell r="C33">
            <v>1.3842516611860198</v>
          </cell>
          <cell r="D33">
            <v>4.0360290273184098</v>
          </cell>
          <cell r="E33">
            <v>8.34108705845584E-2</v>
          </cell>
          <cell r="F33">
            <v>13.596700893753589</v>
          </cell>
        </row>
        <row r="34">
          <cell r="B34">
            <v>7.9087108291385002</v>
          </cell>
          <cell r="C34">
            <v>1.39311779580263</v>
          </cell>
          <cell r="D34">
            <v>3.94853215242009</v>
          </cell>
          <cell r="E34">
            <v>7.9452313133536692E-2</v>
          </cell>
          <cell r="F34">
            <v>13.329813090494756</v>
          </cell>
        </row>
        <row r="35">
          <cell r="B35">
            <v>7.6892254800588304</v>
          </cell>
          <cell r="C35">
            <v>1.36626104047555</v>
          </cell>
          <cell r="D35">
            <v>3.5531263987596504</v>
          </cell>
          <cell r="E35">
            <v>7.6607061129348994E-2</v>
          </cell>
          <cell r="F35">
            <v>12.68521998042338</v>
          </cell>
        </row>
        <row r="36">
          <cell r="B36">
            <v>7.4996118635372104</v>
          </cell>
          <cell r="C36">
            <v>1.3372520864806199</v>
          </cell>
          <cell r="D36">
            <v>3.1036014429618199</v>
          </cell>
          <cell r="E36">
            <v>7.8212673817081607E-2</v>
          </cell>
          <cell r="F36">
            <v>12.018678066796731</v>
          </cell>
        </row>
        <row r="37">
          <cell r="B37">
            <v>7.2684321266374798</v>
          </cell>
          <cell r="C37">
            <v>1.42959428171173</v>
          </cell>
          <cell r="D37">
            <v>3.0186824622738198</v>
          </cell>
          <cell r="E37">
            <v>8.1620880712772209E-2</v>
          </cell>
          <cell r="F37">
            <v>11.798329751335801</v>
          </cell>
        </row>
        <row r="38">
          <cell r="B38">
            <v>7.0451072915996704</v>
          </cell>
          <cell r="C38">
            <v>1.4246936634063698</v>
          </cell>
          <cell r="D38">
            <v>2.8356183342804</v>
          </cell>
          <cell r="E38">
            <v>0.10161326794335901</v>
          </cell>
          <cell r="F38">
            <v>11.407032557229799</v>
          </cell>
        </row>
        <row r="39">
          <cell r="B39">
            <v>6.7246282854731199</v>
          </cell>
          <cell r="C39">
            <v>1.2459121369586501</v>
          </cell>
          <cell r="D39">
            <v>2.1279454164156699</v>
          </cell>
          <cell r="E39">
            <v>9.5063555769548294E-2</v>
          </cell>
          <cell r="F39">
            <v>10.193549394616989</v>
          </cell>
        </row>
        <row r="40">
          <cell r="B40">
            <v>6.7926283302228807</v>
          </cell>
          <cell r="C40">
            <v>1.3385768812619099</v>
          </cell>
          <cell r="D40">
            <v>2.1866911196642098</v>
          </cell>
          <cell r="E40">
            <v>0.104903741029148</v>
          </cell>
          <cell r="F40">
            <v>10.422800072178148</v>
          </cell>
        </row>
        <row r="41">
          <cell r="B41">
            <v>6.6591942723848305</v>
          </cell>
          <cell r="C41">
            <v>1.44778998187997</v>
          </cell>
          <cell r="D41">
            <v>2.1141733379472898</v>
          </cell>
          <cell r="E41">
            <v>0.106025508313961</v>
          </cell>
          <cell r="F41">
            <v>10.327183100526051</v>
          </cell>
        </row>
        <row r="42">
          <cell r="B42">
            <v>6.6225490443274406</v>
          </cell>
          <cell r="C42">
            <v>1.5589217069390799</v>
          </cell>
          <cell r="D42">
            <v>2.0589682693585898</v>
          </cell>
          <cell r="E42">
            <v>0.107580373301294</v>
          </cell>
          <cell r="F42">
            <v>10.348019393926405</v>
          </cell>
        </row>
        <row r="43">
          <cell r="B43">
            <v>6.6515323333790706</v>
          </cell>
          <cell r="C43">
            <v>1.5493636595940399</v>
          </cell>
          <cell r="D43">
            <v>1.9568981633879299</v>
          </cell>
          <cell r="E43">
            <v>0.105743603281525</v>
          </cell>
          <cell r="F43">
            <v>10.263537759642565</v>
          </cell>
        </row>
        <row r="44">
          <cell r="B44">
            <v>6.7939425748671098</v>
          </cell>
          <cell r="C44">
            <v>1.60677349035027</v>
          </cell>
          <cell r="D44">
            <v>2.0060819184711698</v>
          </cell>
          <cell r="E44">
            <v>0.107596575846158</v>
          </cell>
          <cell r="F44">
            <v>10.514394559534706</v>
          </cell>
        </row>
        <row r="45">
          <cell r="B45">
            <v>6.8544603291965105</v>
          </cell>
          <cell r="C45">
            <v>1.49206454882166</v>
          </cell>
          <cell r="D45">
            <v>1.8585639214558001</v>
          </cell>
          <cell r="E45">
            <v>0.106148853458486</v>
          </cell>
          <cell r="F45">
            <v>10.311237652932457</v>
          </cell>
        </row>
        <row r="46">
          <cell r="B46">
            <v>7.1855661952278496</v>
          </cell>
          <cell r="C46">
            <v>1.59457174641218</v>
          </cell>
          <cell r="D46">
            <v>1.8481371113115699</v>
          </cell>
          <cell r="E46">
            <v>0.11204392506296501</v>
          </cell>
          <cell r="F46">
            <v>10.740318978014564</v>
          </cell>
        </row>
        <row r="47">
          <cell r="B47">
            <v>6.6178418071249503</v>
          </cell>
          <cell r="C47">
            <v>1.5961092667011298</v>
          </cell>
          <cell r="D47">
            <v>1.8288072431084901</v>
          </cell>
          <cell r="E47">
            <v>0.110120621912906</v>
          </cell>
          <cell r="F47">
            <v>10.152878938847476</v>
          </cell>
        </row>
        <row r="48">
          <cell r="B48">
            <v>6.1271415950005101</v>
          </cell>
          <cell r="C48">
            <v>1.6072246425527799</v>
          </cell>
          <cell r="D48">
            <v>1.7384722459828899</v>
          </cell>
          <cell r="E48">
            <v>0.11322052502169501</v>
          </cell>
          <cell r="F48">
            <v>9.586059008557875</v>
          </cell>
        </row>
        <row r="49">
          <cell r="B49">
            <v>6.2319501721374104</v>
          </cell>
          <cell r="C49">
            <v>1.7171835204847801</v>
          </cell>
          <cell r="D49">
            <v>1.7311432326682501</v>
          </cell>
          <cell r="E49">
            <v>0.101564309894376</v>
          </cell>
          <cell r="F49">
            <v>9.7818412351848174</v>
          </cell>
        </row>
        <row r="50">
          <cell r="B50">
            <v>6.4098351442917405</v>
          </cell>
          <cell r="C50">
            <v>1.7758495613735499</v>
          </cell>
          <cell r="D50">
            <v>1.7063284142367698</v>
          </cell>
          <cell r="E50">
            <v>9.8904186468113192E-2</v>
          </cell>
          <cell r="F50">
            <v>9.9909173063701733</v>
          </cell>
        </row>
        <row r="51">
          <cell r="B51">
            <v>6.2543255752408893</v>
          </cell>
          <cell r="C51">
            <v>1.60238855978251</v>
          </cell>
          <cell r="D51">
            <v>1.4476689212990301</v>
          </cell>
          <cell r="E51">
            <v>0.121160610496631</v>
          </cell>
          <cell r="F51">
            <v>9.4255436668190598</v>
          </cell>
        </row>
        <row r="52">
          <cell r="B52">
            <v>6.5205104474075499</v>
          </cell>
          <cell r="C52">
            <v>1.75713671791994</v>
          </cell>
          <cell r="D52">
            <v>1.44220214860115</v>
          </cell>
          <cell r="E52">
            <v>0.127979293173519</v>
          </cell>
          <cell r="F52">
            <v>9.8478286071021603</v>
          </cell>
        </row>
        <row r="53">
          <cell r="B53">
            <v>6.1970203709863192</v>
          </cell>
          <cell r="C53">
            <v>1.8875184853301799</v>
          </cell>
          <cell r="D53">
            <v>1.4079509614103798</v>
          </cell>
          <cell r="E53">
            <v>0.12285046549907901</v>
          </cell>
          <cell r="F53">
            <v>9.615340283225958</v>
          </cell>
        </row>
        <row r="54">
          <cell r="B54">
            <v>6.0456362496740299</v>
          </cell>
          <cell r="C54">
            <v>1.94899782603028</v>
          </cell>
          <cell r="D54">
            <v>1.41285320599291</v>
          </cell>
          <cell r="E54">
            <v>0.130959621786648</v>
          </cell>
          <cell r="F54">
            <v>9.5384469034838677</v>
          </cell>
        </row>
        <row r="55">
          <cell r="B55">
            <v>6.2067121847970697</v>
          </cell>
          <cell r="C55">
            <v>2.1228331126422999</v>
          </cell>
          <cell r="D55">
            <v>1.3878269725183798</v>
          </cell>
          <cell r="E55">
            <v>0.13538999058453399</v>
          </cell>
          <cell r="F55">
            <v>9.8527622605422831</v>
          </cell>
        </row>
        <row r="56">
          <cell r="B56">
            <v>6.0663473237201</v>
          </cell>
          <cell r="C56">
            <v>2.2577452841643502</v>
          </cell>
          <cell r="D56">
            <v>1.3981888934849001</v>
          </cell>
          <cell r="E56">
            <v>0.133048958545467</v>
          </cell>
          <cell r="F56">
            <v>9.8553304599148177</v>
          </cell>
        </row>
        <row r="57">
          <cell r="B57">
            <v>5.9358437133875102</v>
          </cell>
          <cell r="C57">
            <v>2.2599175042147697</v>
          </cell>
          <cell r="D57">
            <v>1.3153331746914501</v>
          </cell>
          <cell r="E57">
            <v>0.13613016993829799</v>
          </cell>
          <cell r="F57">
            <v>9.6472245622320276</v>
          </cell>
        </row>
        <row r="58">
          <cell r="B58">
            <v>6.0039586713082107</v>
          </cell>
          <cell r="C58">
            <v>2.37561785606814</v>
          </cell>
          <cell r="D58">
            <v>1.2877156400265501</v>
          </cell>
          <cell r="E58">
            <v>0.14331143948205599</v>
          </cell>
          <cell r="F58">
            <v>9.8106036068849569</v>
          </cell>
        </row>
        <row r="59">
          <cell r="B59">
            <v>5.5779535670351299</v>
          </cell>
          <cell r="C59">
            <v>2.36090558451997</v>
          </cell>
          <cell r="D59">
            <v>1.26913287536555</v>
          </cell>
          <cell r="E59">
            <v>0.14307607892204699</v>
          </cell>
          <cell r="F59">
            <v>9.3510681058426961</v>
          </cell>
        </row>
        <row r="60">
          <cell r="B60">
            <v>5.4700807881432505</v>
          </cell>
          <cell r="C60">
            <v>2.4280574486156503</v>
          </cell>
          <cell r="D60">
            <v>1.2352247699038201</v>
          </cell>
          <cell r="E60">
            <v>0.149586781838838</v>
          </cell>
          <cell r="F60">
            <v>9.2829497885015595</v>
          </cell>
        </row>
        <row r="61">
          <cell r="B61">
            <v>5.5104019565412399</v>
          </cell>
          <cell r="C61">
            <v>2.6161343523376899</v>
          </cell>
          <cell r="D61">
            <v>1.2333152179371201</v>
          </cell>
          <cell r="E61">
            <v>0.15139884719299901</v>
          </cell>
          <cell r="F61">
            <v>9.5112503740090482</v>
          </cell>
        </row>
        <row r="62">
          <cell r="B62">
            <v>5.07122503535438</v>
          </cell>
          <cell r="C62">
            <v>2.76825081595178</v>
          </cell>
          <cell r="D62">
            <v>1.2305096104951898</v>
          </cell>
          <cell r="E62">
            <v>0.15311889477459401</v>
          </cell>
          <cell r="F62">
            <v>9.2231043565759432</v>
          </cell>
        </row>
        <row r="63">
          <cell r="B63">
            <v>5.4995940475750995</v>
          </cell>
          <cell r="C63">
            <v>2.7147232902237803</v>
          </cell>
          <cell r="D63">
            <v>1.15513544808112</v>
          </cell>
          <cell r="E63">
            <v>0.158987973854785</v>
          </cell>
          <cell r="F63">
            <v>9.5284407597347851</v>
          </cell>
        </row>
        <row r="64">
          <cell r="B64">
            <v>5.3715627813160403</v>
          </cell>
          <cell r="C64">
            <v>2.82252747225728</v>
          </cell>
          <cell r="D64">
            <v>1.16981627654051</v>
          </cell>
          <cell r="E64">
            <v>0.16609937169000699</v>
          </cell>
          <cell r="F64">
            <v>9.5300059018038379</v>
          </cell>
        </row>
        <row r="65">
          <cell r="B65">
            <v>5.4389337193296807</v>
          </cell>
          <cell r="C65">
            <v>3.0411945147122204</v>
          </cell>
          <cell r="D65">
            <v>1.1044571620394699</v>
          </cell>
          <cell r="E65">
            <v>0.17105638154553499</v>
          </cell>
          <cell r="F65">
            <v>9.7556417776269058</v>
          </cell>
        </row>
        <row r="66">
          <cell r="B66">
            <v>5.7117697412262398</v>
          </cell>
          <cell r="C66">
            <v>3.1917634129543799</v>
          </cell>
          <cell r="D66">
            <v>1.11532844615378</v>
          </cell>
          <cell r="E66">
            <v>0.18153367001989201</v>
          </cell>
          <cell r="F66">
            <v>10.200395270354292</v>
          </cell>
        </row>
        <row r="67">
          <cell r="B67">
            <v>5.6541675656324193</v>
          </cell>
          <cell r="C67">
            <v>3.3201295975960003</v>
          </cell>
          <cell r="D67">
            <v>1.1334117185208901</v>
          </cell>
          <cell r="E67">
            <v>0.18259972094178301</v>
          </cell>
          <cell r="F67">
            <v>10.290308602691091</v>
          </cell>
        </row>
        <row r="68">
          <cell r="B68">
            <v>5.4216689152728899</v>
          </cell>
          <cell r="C68">
            <v>3.38716132007933</v>
          </cell>
          <cell r="D68">
            <v>1.17053816400793</v>
          </cell>
          <cell r="E68">
            <v>0.18397347116101001</v>
          </cell>
          <cell r="F68">
            <v>10.16334187052116</v>
          </cell>
        </row>
        <row r="69">
          <cell r="B69">
            <v>6.1797146759788601</v>
          </cell>
          <cell r="C69">
            <v>3.7013879556332001</v>
          </cell>
          <cell r="D69">
            <v>1.1838966962791901</v>
          </cell>
          <cell r="E69">
            <v>0.19121047917188</v>
          </cell>
          <cell r="F69">
            <v>11.256209807063131</v>
          </cell>
        </row>
        <row r="70">
          <cell r="B70">
            <v>5.5662094548308696</v>
          </cell>
          <cell r="C70">
            <v>3.7809048043930003</v>
          </cell>
          <cell r="D70">
            <v>1.1784051774271</v>
          </cell>
          <cell r="E70">
            <v>0.19981164012337699</v>
          </cell>
          <cell r="F70">
            <v>10.725331076774347</v>
          </cell>
        </row>
        <row r="71">
          <cell r="B71">
            <v>5.7852124248828005</v>
          </cell>
          <cell r="C71">
            <v>3.8489586569628202</v>
          </cell>
          <cell r="D71">
            <v>1.1586063447117201</v>
          </cell>
          <cell r="E71">
            <v>0.196877144486476</v>
          </cell>
          <cell r="F71">
            <v>10.989654571043816</v>
          </cell>
        </row>
        <row r="72">
          <cell r="B72">
            <v>5.5743760831095797</v>
          </cell>
          <cell r="C72">
            <v>4.1485973233252302</v>
          </cell>
          <cell r="D72">
            <v>1.16773879021611</v>
          </cell>
          <cell r="E72">
            <v>0.213658301972422</v>
          </cell>
          <cell r="F72">
            <v>11.104370498623343</v>
          </cell>
        </row>
        <row r="73">
          <cell r="B73">
            <v>5.9127043185102499</v>
          </cell>
          <cell r="C73">
            <v>4.3941961553596496</v>
          </cell>
          <cell r="D73">
            <v>1.2143358363065702</v>
          </cell>
          <cell r="E73">
            <v>0.21753616554820701</v>
          </cell>
          <cell r="F73">
            <v>11.738772475724677</v>
          </cell>
        </row>
        <row r="74">
          <cell r="B74">
            <v>5.8011173891270102</v>
          </cell>
          <cell r="C74">
            <v>4.5698341536389107</v>
          </cell>
          <cell r="D74">
            <v>1.25148754893069</v>
          </cell>
          <cell r="E74">
            <v>0.22387755361983902</v>
          </cell>
          <cell r="F74">
            <v>11.846316645316451</v>
          </cell>
        </row>
        <row r="75">
          <cell r="B75">
            <v>6.1296558520101803</v>
          </cell>
          <cell r="C75">
            <v>4.5149032055091496</v>
          </cell>
          <cell r="D75">
            <v>1.18337218503565</v>
          </cell>
          <cell r="E75">
            <v>0.21956215116831401</v>
          </cell>
          <cell r="F75">
            <v>12.047493393723293</v>
          </cell>
        </row>
        <row r="76">
          <cell r="B76">
            <v>6.2307716535102298</v>
          </cell>
          <cell r="C76">
            <v>4.7962919277686904</v>
          </cell>
          <cell r="D76">
            <v>1.2157012683964401</v>
          </cell>
          <cell r="E76">
            <v>0.23054277539476498</v>
          </cell>
          <cell r="F76">
            <v>12.473307625070126</v>
          </cell>
        </row>
        <row r="77">
          <cell r="B77">
            <v>6.1562883827274906</v>
          </cell>
          <cell r="C77">
            <v>5.1683793278211807</v>
          </cell>
          <cell r="D77">
            <v>1.20074282107101</v>
          </cell>
          <cell r="E77">
            <v>0.23141260415881401</v>
          </cell>
          <cell r="F77">
            <v>12.756823135778495</v>
          </cell>
        </row>
        <row r="78">
          <cell r="B78">
            <v>6.0247716269486702</v>
          </cell>
          <cell r="C78">
            <v>5.5678655696761501</v>
          </cell>
          <cell r="D78">
            <v>1.23881339547228</v>
          </cell>
          <cell r="E78">
            <v>0.249223050928467</v>
          </cell>
          <cell r="F78">
            <v>13.080673643025568</v>
          </cell>
        </row>
        <row r="79">
          <cell r="B79">
            <v>6.1470041733598402</v>
          </cell>
          <cell r="C79">
            <v>5.4847134951874397</v>
          </cell>
          <cell r="D79">
            <v>1.22914451306058</v>
          </cell>
          <cell r="E79">
            <v>0.25727037987718704</v>
          </cell>
          <cell r="F79">
            <v>13.118132561485048</v>
          </cell>
        </row>
        <row r="80">
          <cell r="B80">
            <v>6.3887802344505902</v>
          </cell>
          <cell r="C80">
            <v>5.7324132729940098</v>
          </cell>
          <cell r="D80">
            <v>1.2894029929435502</v>
          </cell>
          <cell r="E80">
            <v>0.25972286254772098</v>
          </cell>
          <cell r="F80">
            <v>13.670319362935871</v>
          </cell>
        </row>
        <row r="81">
          <cell r="B81">
            <v>7.1022575233089302</v>
          </cell>
          <cell r="C81">
            <v>5.45383636886109</v>
          </cell>
          <cell r="D81">
            <v>1.2817994756045799</v>
          </cell>
          <cell r="E81">
            <v>0.26292346586183701</v>
          </cell>
          <cell r="F81">
            <v>14.100816833636436</v>
          </cell>
        </row>
        <row r="82">
          <cell r="B82">
            <v>8.4899833135338891</v>
          </cell>
          <cell r="C82">
            <v>5.7602919438441695</v>
          </cell>
          <cell r="D82">
            <v>1.44524653179458</v>
          </cell>
          <cell r="E82">
            <v>0.25596126978898098</v>
          </cell>
          <cell r="F82">
            <v>15.951483058961619</v>
          </cell>
        </row>
        <row r="83">
          <cell r="B83">
            <v>8.8311153661990609</v>
          </cell>
          <cell r="C83">
            <v>6.3490059549700497</v>
          </cell>
          <cell r="D83">
            <v>1.3476804391695398</v>
          </cell>
          <cell r="E83">
            <v>0.27365535526608598</v>
          </cell>
          <cell r="F83">
            <v>16.801457115604737</v>
          </cell>
        </row>
        <row r="84">
          <cell r="B84">
            <v>8.8961869709755401</v>
          </cell>
          <cell r="C84">
            <v>6.2357309270040098</v>
          </cell>
          <cell r="D84">
            <v>1.3639655848399301</v>
          </cell>
          <cell r="E84">
            <v>0.28340481835278097</v>
          </cell>
          <cell r="F84">
            <v>16.779288301172262</v>
          </cell>
        </row>
        <row r="85">
          <cell r="B85">
            <v>9.4379616645933098</v>
          </cell>
          <cell r="C85">
            <v>6.3812758017047297</v>
          </cell>
          <cell r="D85">
            <v>1.3847955107685201</v>
          </cell>
          <cell r="E85">
            <v>0.27020263350670098</v>
          </cell>
          <cell r="F85">
            <v>17.474235610573263</v>
          </cell>
        </row>
        <row r="86">
          <cell r="B86">
            <v>10.205032094262199</v>
          </cell>
          <cell r="C86">
            <v>6.7833247056021406</v>
          </cell>
          <cell r="D86">
            <v>1.4498568123359001</v>
          </cell>
          <cell r="E86">
            <v>0.31669760106224698</v>
          </cell>
          <cell r="F86">
            <v>18.754911213262488</v>
          </cell>
        </row>
        <row r="87">
          <cell r="B87">
            <v>9.7663323726199405</v>
          </cell>
          <cell r="C87">
            <v>6.5589674713663797</v>
          </cell>
          <cell r="D87">
            <v>1.4583101949035799</v>
          </cell>
          <cell r="E87">
            <v>0.31650130602533605</v>
          </cell>
          <cell r="F87">
            <v>18.100111344915238</v>
          </cell>
        </row>
        <row r="88">
          <cell r="B88">
            <v>9.9014799307229993</v>
          </cell>
          <cell r="C88">
            <v>6.7730550422928308</v>
          </cell>
          <cell r="D88">
            <v>1.5314775813613</v>
          </cell>
          <cell r="E88">
            <v>0.34206067122264</v>
          </cell>
          <cell r="F88">
            <v>18.548073225599772</v>
          </cell>
        </row>
        <row r="89">
          <cell r="B89">
            <v>9.94978333081907</v>
          </cell>
          <cell r="C89">
            <v>6.9293841204480602</v>
          </cell>
          <cell r="D89">
            <v>1.5339919015278201</v>
          </cell>
          <cell r="E89">
            <v>0.36054819219325102</v>
          </cell>
          <cell r="F89">
            <v>18.773707544988198</v>
          </cell>
        </row>
        <row r="90">
          <cell r="B90">
            <v>10.2439459512737</v>
          </cell>
          <cell r="C90">
            <v>6.9110312034771608</v>
          </cell>
          <cell r="D90">
            <v>1.5719646844884201</v>
          </cell>
          <cell r="E90">
            <v>0.36204629640195402</v>
          </cell>
          <cell r="F90">
            <v>19.088988135641234</v>
          </cell>
        </row>
        <row r="91">
          <cell r="B91">
            <v>10.3775563166945</v>
          </cell>
          <cell r="C91">
            <v>7.00163633978232</v>
          </cell>
          <cell r="D91">
            <v>1.5617391767145501</v>
          </cell>
          <cell r="E91">
            <v>0.38462509691503399</v>
          </cell>
          <cell r="F91">
            <v>19.325556930106405</v>
          </cell>
        </row>
        <row r="92">
          <cell r="B92">
            <v>10.8433968619116</v>
          </cell>
          <cell r="C92">
            <v>7.1304634948106402</v>
          </cell>
          <cell r="D92">
            <v>1.66303711353127</v>
          </cell>
          <cell r="E92">
            <v>0.40351886084663602</v>
          </cell>
          <cell r="F92">
            <v>20.040416331100147</v>
          </cell>
        </row>
        <row r="93">
          <cell r="B93">
            <v>10.526604760689699</v>
          </cell>
          <cell r="C93">
            <v>6.9671956823907806</v>
          </cell>
          <cell r="D93">
            <v>1.67248978815171</v>
          </cell>
          <cell r="E93">
            <v>0.41079725812032403</v>
          </cell>
          <cell r="F93">
            <v>19.577087489352518</v>
          </cell>
        </row>
        <row r="94">
          <cell r="B94">
            <v>10.578343129676501</v>
          </cell>
          <cell r="C94">
            <v>6.6011544212809694</v>
          </cell>
          <cell r="D94">
            <v>1.6087749197560999</v>
          </cell>
          <cell r="E94">
            <v>0.39839014431645603</v>
          </cell>
          <cell r="F94">
            <v>19.186662615030027</v>
          </cell>
        </row>
        <row r="95">
          <cell r="B95">
            <v>10.5185330161951</v>
          </cell>
          <cell r="C95">
            <v>6.7036331826185602</v>
          </cell>
          <cell r="D95">
            <v>1.6459773493430401</v>
          </cell>
          <cell r="E95">
            <v>0.41742627296448898</v>
          </cell>
          <cell r="F95">
            <v>19.285569821121189</v>
          </cell>
        </row>
        <row r="96">
          <cell r="B96">
            <v>10.5273026432651</v>
          </cell>
          <cell r="C96">
            <v>6.4334696428229305</v>
          </cell>
          <cell r="D96">
            <v>1.59373808078537</v>
          </cell>
          <cell r="E96">
            <v>0.419653890879088</v>
          </cell>
          <cell r="F96">
            <v>18.974164257752488</v>
          </cell>
        </row>
        <row r="97">
          <cell r="B97">
            <v>10.738449735291299</v>
          </cell>
          <cell r="C97">
            <v>6.3312119310479202</v>
          </cell>
          <cell r="D97">
            <v>1.6161587765824599</v>
          </cell>
          <cell r="E97">
            <v>0.42811219802941697</v>
          </cell>
          <cell r="F97">
            <v>19.113932640951095</v>
          </cell>
        </row>
        <row r="98">
          <cell r="B98">
            <v>10.9708282583784</v>
          </cell>
          <cell r="C98">
            <v>6.39407873059021</v>
          </cell>
          <cell r="D98">
            <v>1.59248597830334</v>
          </cell>
          <cell r="E98">
            <v>0.399679745932702</v>
          </cell>
          <cell r="F98">
            <v>19.357072713204651</v>
          </cell>
        </row>
        <row r="99">
          <cell r="B99">
            <v>11.867278190401199</v>
          </cell>
          <cell r="C99">
            <v>5.8686765303593704</v>
          </cell>
          <cell r="D99">
            <v>1.4814621005861002</v>
          </cell>
          <cell r="E99">
            <v>0.39482750035960196</v>
          </cell>
          <cell r="F99">
            <v>19.612244321706271</v>
          </cell>
        </row>
        <row r="100">
          <cell r="B100">
            <v>11.931898012223</v>
          </cell>
          <cell r="C100">
            <v>5.9700980642780506</v>
          </cell>
          <cell r="D100">
            <v>1.4731201181570202</v>
          </cell>
          <cell r="E100">
            <v>0.418302036931747</v>
          </cell>
          <cell r="F100">
            <v>19.793418231589815</v>
          </cell>
        </row>
        <row r="101">
          <cell r="B101">
            <v>11.8008073348929</v>
          </cell>
          <cell r="C101">
            <v>6.1230348371987997</v>
          </cell>
          <cell r="D101">
            <v>1.43503324181869</v>
          </cell>
          <cell r="E101">
            <v>0.43370086024571297</v>
          </cell>
          <cell r="F101">
            <v>19.792576274156104</v>
          </cell>
        </row>
        <row r="102">
          <cell r="B102">
            <v>12.150675742686801</v>
          </cell>
          <cell r="C102">
            <v>5.9942181605974802</v>
          </cell>
          <cell r="D102">
            <v>1.4428715855322298</v>
          </cell>
          <cell r="E102">
            <v>0.42992107320002504</v>
          </cell>
          <cell r="F102">
            <v>20.017686562016536</v>
          </cell>
        </row>
        <row r="103">
          <cell r="B103">
            <v>11.551815969661501</v>
          </cell>
          <cell r="C103">
            <v>5.83029053489114</v>
          </cell>
          <cell r="D103">
            <v>1.4452407617069098</v>
          </cell>
          <cell r="E103">
            <v>0.46324997092632403</v>
          </cell>
          <cell r="F103">
            <v>19.290597237185874</v>
          </cell>
        </row>
        <row r="104">
          <cell r="B104">
            <v>11.321359783433701</v>
          </cell>
          <cell r="C104">
            <v>6.0180865650130198</v>
          </cell>
          <cell r="D104">
            <v>1.5389699711022999</v>
          </cell>
          <cell r="E104">
            <v>0.45795116185391005</v>
          </cell>
          <cell r="F104">
            <v>19.336367481402931</v>
          </cell>
        </row>
        <row r="105">
          <cell r="B105">
            <v>11.764719892303699</v>
          </cell>
          <cell r="C105">
            <v>5.6011149010674295</v>
          </cell>
          <cell r="D105">
            <v>1.53175449372588</v>
          </cell>
          <cell r="E105">
            <v>0.44974687525700302</v>
          </cell>
          <cell r="F105">
            <v>19.347336162354011</v>
          </cell>
        </row>
        <row r="106">
          <cell r="B106">
            <v>11.6445192876992</v>
          </cell>
          <cell r="C106">
            <v>5.4883864506773392</v>
          </cell>
          <cell r="D106">
            <v>1.54350320231968</v>
          </cell>
          <cell r="E106">
            <v>0.44826031546343098</v>
          </cell>
          <cell r="F106">
            <v>19.124669256159653</v>
          </cell>
        </row>
        <row r="107">
          <cell r="B107">
            <v>11.2257154030848</v>
          </cell>
          <cell r="C107">
            <v>5.3551857454187095</v>
          </cell>
          <cell r="D107">
            <v>1.5066733639806</v>
          </cell>
          <cell r="E107">
            <v>0.44070284973468699</v>
          </cell>
          <cell r="F107">
            <v>18.528277362218798</v>
          </cell>
        </row>
        <row r="108">
          <cell r="B108">
            <v>10.507739115527201</v>
          </cell>
          <cell r="C108">
            <v>5.23375682682284</v>
          </cell>
          <cell r="D108">
            <v>1.4598858616411501</v>
          </cell>
          <cell r="E108">
            <v>0.43590919241681497</v>
          </cell>
          <cell r="F108">
            <v>17.637290996408009</v>
          </cell>
        </row>
        <row r="109">
          <cell r="B109">
            <v>10.5557872978088</v>
          </cell>
          <cell r="C109">
            <v>5.3291901640313197</v>
          </cell>
          <cell r="D109">
            <v>1.49588623269853</v>
          </cell>
          <cell r="E109">
            <v>0.434185155998913</v>
          </cell>
          <cell r="F109">
            <v>17.815048850537565</v>
          </cell>
        </row>
        <row r="110">
          <cell r="B110">
            <v>10.4380030617803</v>
          </cell>
          <cell r="C110">
            <v>5.2473256296669595</v>
          </cell>
          <cell r="D110">
            <v>1.4762984089464701</v>
          </cell>
          <cell r="E110">
            <v>0.43167390173006198</v>
          </cell>
          <cell r="F110">
            <v>17.593301002123791</v>
          </cell>
        </row>
        <row r="111">
          <cell r="B111">
            <v>10.9789235474046</v>
          </cell>
          <cell r="C111">
            <v>4.9004815217070101</v>
          </cell>
          <cell r="D111">
            <v>1.53340717747559</v>
          </cell>
          <cell r="E111">
            <v>0.40355434704813803</v>
          </cell>
          <cell r="F111">
            <v>17.816366593635337</v>
          </cell>
        </row>
        <row r="112">
          <cell r="B112">
            <v>11.0001313214541</v>
          </cell>
          <cell r="C112">
            <v>4.9712704345645999</v>
          </cell>
          <cell r="D112">
            <v>1.4986779813619</v>
          </cell>
          <cell r="E112">
            <v>0.41063214370571499</v>
          </cell>
          <cell r="F112">
            <v>17.880711881086317</v>
          </cell>
        </row>
        <row r="113">
          <cell r="B113">
            <v>11.008330487011499</v>
          </cell>
          <cell r="C113">
            <v>5.2327916430895201</v>
          </cell>
          <cell r="D113">
            <v>1.4539229744934399</v>
          </cell>
          <cell r="E113">
            <v>0.45636712597538298</v>
          </cell>
          <cell r="F113">
            <v>18.151412230569843</v>
          </cell>
        </row>
        <row r="114">
          <cell r="B114">
            <v>10.735759743527099</v>
          </cell>
          <cell r="C114">
            <v>5.2212330140757102</v>
          </cell>
          <cell r="D114">
            <v>1.4512883303617798</v>
          </cell>
          <cell r="E114">
            <v>0.46134840841524</v>
          </cell>
          <cell r="F114">
            <v>17.869629496379829</v>
          </cell>
        </row>
        <row r="115">
          <cell r="B115">
            <v>10.4233151335462</v>
          </cell>
          <cell r="C115">
            <v>5.3270121865062903</v>
          </cell>
          <cell r="D115">
            <v>1.4563673457642501</v>
          </cell>
          <cell r="E115">
            <v>0.484798902500722</v>
          </cell>
          <cell r="F115">
            <v>17.691493568317462</v>
          </cell>
        </row>
        <row r="116">
          <cell r="B116">
            <v>10.7381343459687</v>
          </cell>
          <cell r="C116">
            <v>5.2421223072206802</v>
          </cell>
          <cell r="D116">
            <v>1.4932881932804201</v>
          </cell>
          <cell r="E116">
            <v>0.48801815725793396</v>
          </cell>
          <cell r="F116">
            <v>17.961563003727733</v>
          </cell>
        </row>
        <row r="117">
          <cell r="B117">
            <v>11.0227388107525</v>
          </cell>
          <cell r="C117">
            <v>5.1599338438813298</v>
          </cell>
          <cell r="D117">
            <v>1.38233472168552</v>
          </cell>
          <cell r="E117">
            <v>0.49970137609054799</v>
          </cell>
          <cell r="F117">
            <v>18.064708752409899</v>
          </cell>
        </row>
        <row r="118">
          <cell r="B118">
            <v>10.916610365920999</v>
          </cell>
          <cell r="C118">
            <v>5.35273985161664</v>
          </cell>
          <cell r="D118">
            <v>1.39968099799173</v>
          </cell>
          <cell r="E118">
            <v>0.53791049124601897</v>
          </cell>
          <cell r="F118">
            <v>18.206941706775389</v>
          </cell>
        </row>
        <row r="119">
          <cell r="B119">
            <v>10.7973850672076</v>
          </cell>
          <cell r="C119">
            <v>5.4266675211440001</v>
          </cell>
          <cell r="D119">
            <v>1.3741671419444399</v>
          </cell>
          <cell r="E119">
            <v>0.53300097567743199</v>
          </cell>
          <cell r="F119">
            <v>18.131220705973472</v>
          </cell>
        </row>
        <row r="120">
          <cell r="B120">
            <v>10.6779347033916</v>
          </cell>
          <cell r="C120">
            <v>5.53861395484883</v>
          </cell>
          <cell r="D120">
            <v>1.32500715440045</v>
          </cell>
          <cell r="E120">
            <v>0.522215197837963</v>
          </cell>
          <cell r="F120">
            <v>18.063771010478842</v>
          </cell>
        </row>
        <row r="121">
          <cell r="B121">
            <v>10.4830168463007</v>
          </cell>
          <cell r="C121">
            <v>5.63927691343868</v>
          </cell>
          <cell r="D121">
            <v>1.3805945232163201</v>
          </cell>
          <cell r="E121">
            <v>0.53396732410230197</v>
          </cell>
          <cell r="F121">
            <v>18.036855607058001</v>
          </cell>
        </row>
        <row r="122">
          <cell r="B122">
            <v>10.705227262297001</v>
          </cell>
          <cell r="C122">
            <v>5.96186697976768</v>
          </cell>
          <cell r="D122">
            <v>1.3858480373172599</v>
          </cell>
          <cell r="E122">
            <v>0.54689174691620701</v>
          </cell>
          <cell r="F122">
            <v>18.599834026298147</v>
          </cell>
        </row>
        <row r="123">
          <cell r="B123">
            <v>10.9555235391857</v>
          </cell>
          <cell r="C123">
            <v>5.5093427318811505</v>
          </cell>
          <cell r="D123">
            <v>1.3267263450615201</v>
          </cell>
          <cell r="E123">
            <v>0.51847201475409599</v>
          </cell>
          <cell r="F123">
            <v>18.310064630882465</v>
          </cell>
        </row>
        <row r="124">
          <cell r="B124">
            <v>10.809548010662398</v>
          </cell>
          <cell r="C124">
            <v>5.7393312354935704</v>
          </cell>
          <cell r="D124">
            <v>1.3768592455277902</v>
          </cell>
          <cell r="E124">
            <v>0.52666796623190104</v>
          </cell>
          <cell r="F124">
            <v>18.452406457915661</v>
          </cell>
        </row>
        <row r="125">
          <cell r="B125">
            <v>10.530026638362699</v>
          </cell>
          <cell r="C125">
            <v>6.0428943708360396</v>
          </cell>
          <cell r="D125">
            <v>1.34683164979069</v>
          </cell>
          <cell r="E125">
            <v>0.54165710885712604</v>
          </cell>
          <cell r="F125">
            <v>18.461409767846554</v>
          </cell>
        </row>
        <row r="126">
          <cell r="B126">
            <v>11.1219933995727</v>
          </cell>
          <cell r="C126">
            <v>6.2355101596464397</v>
          </cell>
          <cell r="D126">
            <v>1.37046677425068</v>
          </cell>
          <cell r="E126">
            <v>0.55367976841277</v>
          </cell>
          <cell r="F126">
            <v>19.28165010188259</v>
          </cell>
        </row>
        <row r="127">
          <cell r="B127">
            <v>10.7735711852358</v>
          </cell>
          <cell r="C127">
            <v>6.3504210537293195</v>
          </cell>
          <cell r="D127">
            <v>1.37134268256403</v>
          </cell>
          <cell r="E127">
            <v>0.51409523992663098</v>
          </cell>
          <cell r="F127">
            <v>19.009430161455782</v>
          </cell>
        </row>
        <row r="128">
          <cell r="B128">
            <v>10.743070465099199</v>
          </cell>
          <cell r="C128">
            <v>6.3972973983671499</v>
          </cell>
          <cell r="D128">
            <v>1.37834470298923</v>
          </cell>
          <cell r="E128">
            <v>0.52569544646697097</v>
          </cell>
          <cell r="F128">
            <v>19.044408012922553</v>
          </cell>
        </row>
        <row r="129">
          <cell r="B129">
            <v>11.351333168972401</v>
          </cell>
          <cell r="C129">
            <v>6.4294019229944697</v>
          </cell>
          <cell r="D129">
            <v>1.38640849492023</v>
          </cell>
          <cell r="E129">
            <v>0.55799464138221799</v>
          </cell>
          <cell r="F129">
            <v>19.725138228269319</v>
          </cell>
        </row>
        <row r="130">
          <cell r="B130">
            <v>11.267010391679101</v>
          </cell>
          <cell r="C130">
            <v>6.3809762819689402</v>
          </cell>
          <cell r="D130">
            <v>1.3848800762758999</v>
          </cell>
          <cell r="E130">
            <v>0.57211201652616506</v>
          </cell>
          <cell r="F130">
            <v>19.604978766450106</v>
          </cell>
        </row>
        <row r="131">
          <cell r="B131">
            <v>11.2866456159616</v>
          </cell>
          <cell r="C131">
            <v>6.5328537288223805</v>
          </cell>
          <cell r="D131">
            <v>1.37165044082656</v>
          </cell>
          <cell r="E131">
            <v>0.58621829795652791</v>
          </cell>
          <cell r="F131">
            <v>19.777368083567069</v>
          </cell>
        </row>
        <row r="132">
          <cell r="B132">
            <v>10.6294971452773</v>
          </cell>
          <cell r="C132">
            <v>6.5980722566201804</v>
          </cell>
          <cell r="D132">
            <v>1.3876651392366901</v>
          </cell>
          <cell r="E132">
            <v>0.60306600505864294</v>
          </cell>
          <cell r="F132">
            <v>19.218300546192815</v>
          </cell>
        </row>
        <row r="133">
          <cell r="B133">
            <v>10.779208152190099</v>
          </cell>
          <cell r="C133">
            <v>6.6445663243984407</v>
          </cell>
          <cell r="D133">
            <v>1.4244167348603201</v>
          </cell>
          <cell r="E133">
            <v>0.64261013331347006</v>
          </cell>
          <cell r="F133">
            <v>19.490801344762332</v>
          </cell>
        </row>
        <row r="134">
          <cell r="B134">
            <v>10.656206171835899</v>
          </cell>
          <cell r="C134">
            <v>6.7538898963555605</v>
          </cell>
          <cell r="D134">
            <v>1.39821579891239</v>
          </cell>
          <cell r="E134">
            <v>0.66380418392776996</v>
          </cell>
          <cell r="F134">
            <v>19.47211605103162</v>
          </cell>
        </row>
        <row r="135">
          <cell r="B135">
            <v>11.3868811694442</v>
          </cell>
          <cell r="C135">
            <v>6.5574443780306098</v>
          </cell>
          <cell r="D135">
            <v>1.4802292168784699</v>
          </cell>
          <cell r="E135">
            <v>0.68788091859257405</v>
          </cell>
          <cell r="F135">
            <v>20.112435682945854</v>
          </cell>
        </row>
        <row r="136">
          <cell r="B136">
            <v>11.7652295619105</v>
          </cell>
          <cell r="C136">
            <v>6.6666818576314695</v>
          </cell>
          <cell r="D136">
            <v>1.5178851932628099</v>
          </cell>
          <cell r="E136">
            <v>0.71063677098161493</v>
          </cell>
          <cell r="F136">
            <v>20.660433383786394</v>
          </cell>
        </row>
        <row r="137">
          <cell r="B137">
            <v>11.944360373782899</v>
          </cell>
          <cell r="C137">
            <v>6.9554112724348096</v>
          </cell>
          <cell r="D137">
            <v>1.4732204997779501</v>
          </cell>
          <cell r="E137">
            <v>0.72445817246745603</v>
          </cell>
          <cell r="F137">
            <v>21.097450318463117</v>
          </cell>
        </row>
        <row r="138">
          <cell r="B138">
            <v>11.7275070443701</v>
          </cell>
          <cell r="C138">
            <v>7.3355082152228199</v>
          </cell>
          <cell r="D138">
            <v>1.52846930892713</v>
          </cell>
          <cell r="E138">
            <v>0.76150515024677701</v>
          </cell>
          <cell r="F138">
            <v>21.352989718766825</v>
          </cell>
        </row>
        <row r="139">
          <cell r="B139">
            <v>11.6475387069127</v>
          </cell>
          <cell r="C139">
            <v>7.2002269009697706</v>
          </cell>
          <cell r="D139">
            <v>1.5710504052101801</v>
          </cell>
          <cell r="E139">
            <v>0.77762086928046892</v>
          </cell>
          <cell r="F139">
            <v>21.196436882373121</v>
          </cell>
        </row>
        <row r="140">
          <cell r="B140">
            <v>11.864187189985701</v>
          </cell>
          <cell r="C140">
            <v>7.0933068777533794</v>
          </cell>
          <cell r="D140">
            <v>1.5289809958965399</v>
          </cell>
          <cell r="E140">
            <v>0.78830528375794995</v>
          </cell>
          <cell r="F140">
            <v>21.27478034739357</v>
          </cell>
        </row>
        <row r="141">
          <cell r="B141">
            <v>12.580983460626401</v>
          </cell>
          <cell r="C141">
            <v>7.1568250011586105</v>
          </cell>
          <cell r="D141">
            <v>1.5620600769500501</v>
          </cell>
          <cell r="E141">
            <v>0.86685256744167904</v>
          </cell>
          <cell r="F141">
            <v>22.166721106176741</v>
          </cell>
        </row>
        <row r="142">
          <cell r="B142">
            <v>12.574985381626101</v>
          </cell>
          <cell r="C142">
            <v>6.8683785464751193</v>
          </cell>
          <cell r="D142">
            <v>1.5615293199573601</v>
          </cell>
          <cell r="E142">
            <v>0.88613990872527604</v>
          </cell>
          <cell r="F142">
            <v>21.891033156783855</v>
          </cell>
        </row>
        <row r="143">
          <cell r="B143">
            <v>12.8484194643439</v>
          </cell>
          <cell r="C143">
            <v>6.9591715331683304</v>
          </cell>
          <cell r="D143">
            <v>1.5585583101310101</v>
          </cell>
          <cell r="E143">
            <v>0.92752000426606906</v>
          </cell>
          <cell r="F143">
            <v>22.293669311909305</v>
          </cell>
        </row>
        <row r="144">
          <cell r="B144">
            <v>12.7474638962008</v>
          </cell>
          <cell r="C144">
            <v>6.9843593930584902</v>
          </cell>
          <cell r="D144">
            <v>1.56028393774629</v>
          </cell>
          <cell r="E144">
            <v>0.957305769830048</v>
          </cell>
          <cell r="F144">
            <v>22.249412996835627</v>
          </cell>
        </row>
        <row r="145">
          <cell r="B145">
            <v>12.7309786642115</v>
          </cell>
          <cell r="C145">
            <v>6.9584189725971202</v>
          </cell>
          <cell r="D145">
            <v>1.5712884857016398</v>
          </cell>
          <cell r="E145">
            <v>0.95942536165526993</v>
          </cell>
          <cell r="F145">
            <v>22.220111484165532</v>
          </cell>
        </row>
        <row r="146">
          <cell r="B146">
            <v>12.7863168241315</v>
          </cell>
          <cell r="C146">
            <v>7.1236235306672597</v>
          </cell>
          <cell r="D146">
            <v>1.5749096959631299</v>
          </cell>
          <cell r="E146">
            <v>0.97436073954938107</v>
          </cell>
          <cell r="F146">
            <v>22.459210790311271</v>
          </cell>
        </row>
        <row r="147">
          <cell r="B147">
            <v>13.0586494520531</v>
          </cell>
          <cell r="C147">
            <v>6.6977433291901196</v>
          </cell>
          <cell r="D147">
            <v>1.5547908085099198</v>
          </cell>
          <cell r="E147">
            <v>1.08756404684568</v>
          </cell>
          <cell r="F147">
            <v>22.398747636598824</v>
          </cell>
        </row>
        <row r="148">
          <cell r="B148">
            <v>13.048115069246499</v>
          </cell>
          <cell r="C148">
            <v>6.73375687049987</v>
          </cell>
          <cell r="D148">
            <v>1.5621405020195001</v>
          </cell>
          <cell r="E148">
            <v>1.13566094889136</v>
          </cell>
          <cell r="F148">
            <v>22.479673390657229</v>
          </cell>
        </row>
        <row r="149">
          <cell r="B149">
            <v>12.632176757613701</v>
          </cell>
          <cell r="C149">
            <v>6.9286336069559002</v>
          </cell>
          <cell r="D149">
            <v>1.54269786537459</v>
          </cell>
          <cell r="E149">
            <v>1.1526367047320001</v>
          </cell>
          <cell r="F149">
            <v>22.25614493467619</v>
          </cell>
        </row>
        <row r="150">
          <cell r="B150">
            <v>13.051361482633199</v>
          </cell>
          <cell r="C150">
            <v>7.0772927230810501</v>
          </cell>
          <cell r="D150">
            <v>1.5938675366164201</v>
          </cell>
          <cell r="E150">
            <v>1.14974536569061</v>
          </cell>
          <cell r="F150">
            <v>22.87226710802128</v>
          </cell>
        </row>
        <row r="151">
          <cell r="B151">
            <v>12.8593642282493</v>
          </cell>
          <cell r="C151">
            <v>7.0702600320136302</v>
          </cell>
          <cell r="D151">
            <v>1.63832188192646</v>
          </cell>
          <cell r="E151">
            <v>1.16208637976337</v>
          </cell>
          <cell r="F151">
            <v>22.730032521952758</v>
          </cell>
        </row>
        <row r="152">
          <cell r="B152">
            <v>12.9961234494778</v>
          </cell>
          <cell r="C152">
            <v>7.1364987933456003</v>
          </cell>
          <cell r="D152">
            <v>1.6821556076248201</v>
          </cell>
          <cell r="E152">
            <v>1.1737507131161899</v>
          </cell>
          <cell r="F152">
            <v>22.988528563564412</v>
          </cell>
        </row>
        <row r="153">
          <cell r="B153">
            <v>13.511388274063</v>
          </cell>
          <cell r="C153">
            <v>7.3066875928146802</v>
          </cell>
          <cell r="D153">
            <v>1.7321078767476201</v>
          </cell>
          <cell r="E153">
            <v>1.2711498794956602</v>
          </cell>
          <cell r="F153">
            <v>23.82133362312096</v>
          </cell>
        </row>
        <row r="154">
          <cell r="B154">
            <v>13.7085273573944</v>
          </cell>
          <cell r="C154">
            <v>6.9485932892670004</v>
          </cell>
          <cell r="D154">
            <v>1.7183070052940701</v>
          </cell>
          <cell r="E154">
            <v>1.25474951571968</v>
          </cell>
          <cell r="F154">
            <v>23.63017716767515</v>
          </cell>
        </row>
        <row r="155">
          <cell r="B155">
            <v>13.795537435441499</v>
          </cell>
          <cell r="C155">
            <v>7.2639884197313904</v>
          </cell>
          <cell r="D155">
            <v>1.78477026103498</v>
          </cell>
          <cell r="E155">
            <v>1.2649004628135601</v>
          </cell>
          <cell r="F155">
            <v>24.109196579021429</v>
          </cell>
        </row>
        <row r="156">
          <cell r="B156">
            <v>13.8211275641348</v>
          </cell>
          <cell r="C156">
            <v>7.3041519913856803</v>
          </cell>
          <cell r="D156">
            <v>1.7872048677953301</v>
          </cell>
          <cell r="E156">
            <v>1.29536731304675</v>
          </cell>
          <cell r="F156">
            <v>24.20785173636256</v>
          </cell>
        </row>
        <row r="157">
          <cell r="B157">
            <v>13.8009244208365</v>
          </cell>
          <cell r="C157">
            <v>7.2511037720257594</v>
          </cell>
          <cell r="D157">
            <v>1.7995042084946999</v>
          </cell>
          <cell r="E157">
            <v>1.3048932375946101</v>
          </cell>
          <cell r="F157">
            <v>24.156425638951568</v>
          </cell>
        </row>
        <row r="158">
          <cell r="B158">
            <v>13.741277261763999</v>
          </cell>
          <cell r="C158">
            <v>7.5066387782940796</v>
          </cell>
          <cell r="D158">
            <v>1.8929970968305601</v>
          </cell>
          <cell r="E158">
            <v>1.32188929925001</v>
          </cell>
          <cell r="F158">
            <v>24.462802436138649</v>
          </cell>
        </row>
        <row r="159">
          <cell r="B159">
            <v>14.674671403242501</v>
          </cell>
          <cell r="C159">
            <v>7.2004959275592606</v>
          </cell>
          <cell r="D159">
            <v>1.8388302306120601</v>
          </cell>
          <cell r="E159">
            <v>1.27399197942647</v>
          </cell>
          <cell r="F159">
            <v>24.987989540840292</v>
          </cell>
        </row>
        <row r="160">
          <cell r="B160">
            <v>15.241285814228501</v>
          </cell>
          <cell r="C160">
            <v>7.3111845735538399</v>
          </cell>
          <cell r="D160">
            <v>1.64297298127197</v>
          </cell>
          <cell r="E160">
            <v>1.25763849522825</v>
          </cell>
          <cell r="F160">
            <v>25.453081864282563</v>
          </cell>
        </row>
        <row r="161">
          <cell r="B161">
            <v>15.063660137187799</v>
          </cell>
          <cell r="C161">
            <v>7.4883651316338993</v>
          </cell>
          <cell r="D161">
            <v>1.59189915541628</v>
          </cell>
          <cell r="E161">
            <v>1.25096808981074</v>
          </cell>
          <cell r="F161">
            <v>25.394892514048717</v>
          </cell>
        </row>
        <row r="162">
          <cell r="B162">
            <v>14.908481574933001</v>
          </cell>
          <cell r="C162">
            <v>7.5322494348041404</v>
          </cell>
          <cell r="D162">
            <v>1.5760517048079901</v>
          </cell>
          <cell r="E162">
            <v>1.26202598427815</v>
          </cell>
          <cell r="F162">
            <v>25.278808698823283</v>
          </cell>
        </row>
        <row r="163">
          <cell r="B163">
            <v>14.928545748253901</v>
          </cell>
          <cell r="C163">
            <v>7.73080611766982</v>
          </cell>
          <cell r="D163">
            <v>1.5833543412440099</v>
          </cell>
          <cell r="E163">
            <v>1.2283837563615898</v>
          </cell>
          <cell r="F163">
            <v>25.471089963529323</v>
          </cell>
        </row>
        <row r="164">
          <cell r="B164">
            <v>14.819294019734199</v>
          </cell>
          <cell r="C164">
            <v>7.9285615837737398</v>
          </cell>
          <cell r="D164">
            <v>1.6940710133614398</v>
          </cell>
          <cell r="E164">
            <v>1.18980172247682</v>
          </cell>
          <cell r="F164">
            <v>25.6317283393462</v>
          </cell>
        </row>
        <row r="165">
          <cell r="B165">
            <v>15.883480725126899</v>
          </cell>
          <cell r="C165">
            <v>7.9900308878664594</v>
          </cell>
          <cell r="D165">
            <v>1.7358670576798501</v>
          </cell>
          <cell r="E165">
            <v>1.2552274073940999</v>
          </cell>
          <cell r="F165">
            <v>26.864606078067307</v>
          </cell>
        </row>
        <row r="166">
          <cell r="B166">
            <v>15.7734716548149</v>
          </cell>
          <cell r="C166">
            <v>7.7099560549666704</v>
          </cell>
          <cell r="D166">
            <v>1.6906099704508801</v>
          </cell>
          <cell r="E166">
            <v>1.25490267292816</v>
          </cell>
          <cell r="F166">
            <v>26.428940353160609</v>
          </cell>
        </row>
        <row r="167">
          <cell r="B167">
            <v>15.825472108533001</v>
          </cell>
          <cell r="C167">
            <v>7.7904652881036194</v>
          </cell>
          <cell r="D167">
            <v>1.73845125704241</v>
          </cell>
          <cell r="E167">
            <v>1.23987131665856</v>
          </cell>
          <cell r="F167">
            <v>26.594259970337593</v>
          </cell>
        </row>
        <row r="168">
          <cell r="B168">
            <v>16.0367575623773</v>
          </cell>
          <cell r="C168">
            <v>7.7417093871743701</v>
          </cell>
          <cell r="D168">
            <v>1.7562088361959001</v>
          </cell>
          <cell r="E168">
            <v>1.2248715351084198</v>
          </cell>
          <cell r="F168">
            <v>26.75954732085599</v>
          </cell>
        </row>
        <row r="169">
          <cell r="B169">
            <v>16.417872411617299</v>
          </cell>
          <cell r="C169">
            <v>7.8171875218744296</v>
          </cell>
          <cell r="D169">
            <v>1.7731910082739302</v>
          </cell>
          <cell r="E169">
            <v>1.22338262289697</v>
          </cell>
          <cell r="F169">
            <v>27.23163356466263</v>
          </cell>
        </row>
        <row r="170">
          <cell r="B170">
            <v>16.103799486314799</v>
          </cell>
          <cell r="C170">
            <v>8.0871358313147006</v>
          </cell>
          <cell r="D170">
            <v>1.8119933360485698</v>
          </cell>
          <cell r="E170">
            <v>1.2363094474735201</v>
          </cell>
          <cell r="F170">
            <v>27.239238101151589</v>
          </cell>
        </row>
        <row r="171">
          <cell r="B171">
            <v>16.982712942752002</v>
          </cell>
          <cell r="C171">
            <v>7.8261627813815204</v>
          </cell>
          <cell r="D171">
            <v>1.7686351028380201</v>
          </cell>
          <cell r="E171">
            <v>1.24097846209056</v>
          </cell>
          <cell r="F171">
            <v>27.8184892890621</v>
          </cell>
        </row>
        <row r="172">
          <cell r="B172">
            <v>17.154995028011701</v>
          </cell>
          <cell r="C172">
            <v>7.8830366669953698</v>
          </cell>
          <cell r="D172">
            <v>1.8434574995497601</v>
          </cell>
          <cell r="E172">
            <v>1.2547273813144599</v>
          </cell>
          <cell r="F172">
            <v>28.136216575871291</v>
          </cell>
        </row>
        <row r="173">
          <cell r="B173">
            <v>17.023258544476299</v>
          </cell>
          <cell r="C173">
            <v>8.1404202733127899</v>
          </cell>
          <cell r="D173">
            <v>1.7776081979539</v>
          </cell>
          <cell r="E173">
            <v>1.24189327789277</v>
          </cell>
          <cell r="F173">
            <v>28.183180293635761</v>
          </cell>
        </row>
        <row r="174">
          <cell r="B174">
            <v>17.224367577864399</v>
          </cell>
          <cell r="C174">
            <v>8.3092553685307404</v>
          </cell>
          <cell r="D174">
            <v>1.8133465181716899</v>
          </cell>
          <cell r="E174">
            <v>1.2393999063335599</v>
          </cell>
          <cell r="F174">
            <v>28.586369370900393</v>
          </cell>
        </row>
        <row r="175">
          <cell r="B175">
            <v>17.321450577136101</v>
          </cell>
          <cell r="C175">
            <v>8.3623679892945706</v>
          </cell>
          <cell r="D175">
            <v>1.8677754885215498</v>
          </cell>
          <cell r="E175">
            <v>1.24898469934083</v>
          </cell>
          <cell r="F175">
            <v>28.800578754293053</v>
          </cell>
        </row>
        <row r="176">
          <cell r="B176">
            <v>17.9927642735916</v>
          </cell>
          <cell r="C176">
            <v>8.5974089952240398</v>
          </cell>
          <cell r="D176">
            <v>1.9536439477490399</v>
          </cell>
          <cell r="E176">
            <v>1.26208750221914</v>
          </cell>
          <cell r="F176">
            <v>29.805904718783818</v>
          </cell>
        </row>
        <row r="177">
          <cell r="B177">
            <v>18.481313925323899</v>
          </cell>
          <cell r="C177">
            <v>8.5946957660830403</v>
          </cell>
          <cell r="D177">
            <v>1.9401807913690501</v>
          </cell>
          <cell r="E177">
            <v>1.30912903355815</v>
          </cell>
          <cell r="F177">
            <v>30.32531951633414</v>
          </cell>
        </row>
        <row r="178">
          <cell r="B178">
            <v>18.953373817433299</v>
          </cell>
          <cell r="C178">
            <v>8.8732082662851788</v>
          </cell>
          <cell r="D178">
            <v>2.0326971660872601</v>
          </cell>
          <cell r="E178">
            <v>1.31287816950861</v>
          </cell>
          <cell r="F178">
            <v>31.172157419314349</v>
          </cell>
        </row>
        <row r="179">
          <cell r="B179">
            <v>19.065850525763199</v>
          </cell>
          <cell r="C179">
            <v>8.8950289667259899</v>
          </cell>
          <cell r="D179">
            <v>2.05169314626486</v>
          </cell>
          <cell r="E179">
            <v>1.31072364430762</v>
          </cell>
          <cell r="F179">
            <v>31.323296283061673</v>
          </cell>
        </row>
        <row r="180">
          <cell r="B180">
            <v>18.742725433564299</v>
          </cell>
          <cell r="C180">
            <v>8.9234480711301103</v>
          </cell>
          <cell r="D180">
            <v>2.0634727786487201</v>
          </cell>
          <cell r="E180">
            <v>1.2799093398278101</v>
          </cell>
          <cell r="F180">
            <v>31.009555623170939</v>
          </cell>
        </row>
        <row r="181">
          <cell r="B181">
            <v>19.1686260854962</v>
          </cell>
          <cell r="C181">
            <v>9.2319193433045097</v>
          </cell>
          <cell r="D181">
            <v>2.1573954572707401</v>
          </cell>
          <cell r="E181">
            <v>1.3097625336616499</v>
          </cell>
          <cell r="F181">
            <v>31.867703419733104</v>
          </cell>
        </row>
        <row r="182">
          <cell r="B182">
            <v>21.066719026495498</v>
          </cell>
          <cell r="C182">
            <v>9.5488204558235896</v>
          </cell>
          <cell r="D182">
            <v>2.2251412931304402</v>
          </cell>
          <cell r="E182">
            <v>1.3324640684890698</v>
          </cell>
          <cell r="F182">
            <v>34.173144843938594</v>
          </cell>
        </row>
        <row r="183">
          <cell r="B183">
            <v>21.104228234098599</v>
          </cell>
          <cell r="C183">
            <v>9.273029934285681</v>
          </cell>
          <cell r="D183">
            <v>2.1664612968735799</v>
          </cell>
          <cell r="E183">
            <v>1.3961814383992399</v>
          </cell>
          <cell r="F183">
            <v>33.939900903657097</v>
          </cell>
        </row>
        <row r="184">
          <cell r="B184">
            <v>23.841019760960901</v>
          </cell>
          <cell r="C184">
            <v>9.4292815474621694</v>
          </cell>
          <cell r="D184">
            <v>2.2553118795492102</v>
          </cell>
          <cell r="E184">
            <v>1.40925227884462</v>
          </cell>
          <cell r="F184">
            <v>36.934865466816902</v>
          </cell>
        </row>
        <row r="185">
          <cell r="B185">
            <v>24.116496558308498</v>
          </cell>
          <cell r="C185">
            <v>9.7751991066874417</v>
          </cell>
          <cell r="D185">
            <v>2.2504421528828402</v>
          </cell>
          <cell r="E185">
            <v>1.40583141963568</v>
          </cell>
          <cell r="F185">
            <v>37.547969237514458</v>
          </cell>
        </row>
        <row r="186">
          <cell r="B186">
            <v>24.399745313894002</v>
          </cell>
          <cell r="C186">
            <v>9.9065765287083405</v>
          </cell>
          <cell r="D186">
            <v>2.2494830883305803</v>
          </cell>
          <cell r="E186">
            <v>1.36937624539697</v>
          </cell>
          <cell r="F186">
            <v>37.925181176329893</v>
          </cell>
        </row>
        <row r="187">
          <cell r="B187">
            <v>24.470210188532903</v>
          </cell>
          <cell r="C187">
            <v>10.391546416030501</v>
          </cell>
          <cell r="D187">
            <v>2.4120662101380703</v>
          </cell>
          <cell r="E187">
            <v>1.3987941483180899</v>
          </cell>
          <cell r="F187">
            <v>38.672616963019564</v>
          </cell>
        </row>
        <row r="188">
          <cell r="B188">
            <v>25.084029853720999</v>
          </cell>
          <cell r="C188">
            <v>10.625503481778098</v>
          </cell>
          <cell r="D188">
            <v>2.5672653099575999</v>
          </cell>
          <cell r="E188">
            <v>1.3988354064709001</v>
          </cell>
          <cell r="F188">
            <v>39.675634051927595</v>
          </cell>
        </row>
        <row r="189">
          <cell r="B189">
            <v>25.809858307239701</v>
          </cell>
          <cell r="C189">
            <v>10.7610613436142</v>
          </cell>
          <cell r="D189">
            <v>2.5894014985207501</v>
          </cell>
          <cell r="E189">
            <v>1.43215541946853</v>
          </cell>
          <cell r="F189">
            <v>40.592476568843182</v>
          </cell>
        </row>
        <row r="190">
          <cell r="B190">
            <v>26.142179538612499</v>
          </cell>
          <cell r="C190">
            <v>10.909673620955799</v>
          </cell>
          <cell r="D190">
            <v>2.7516570001672904</v>
          </cell>
          <cell r="E190">
            <v>1.4216400294789802</v>
          </cell>
          <cell r="F190">
            <v>41.225150189214567</v>
          </cell>
        </row>
        <row r="191">
          <cell r="B191">
            <v>26.469112769008401</v>
          </cell>
          <cell r="C191">
            <v>10.8566839055812</v>
          </cell>
          <cell r="D191">
            <v>2.7948954566457602</v>
          </cell>
          <cell r="E191">
            <v>1.4155393602569</v>
          </cell>
          <cell r="F191">
            <v>41.536231491492259</v>
          </cell>
        </row>
        <row r="192">
          <cell r="B192">
            <v>26.350233222812303</v>
          </cell>
          <cell r="C192">
            <v>11.003378308915702</v>
          </cell>
          <cell r="D192">
            <v>2.8775660290287299</v>
          </cell>
          <cell r="E192">
            <v>1.4149561211331501</v>
          </cell>
          <cell r="F192">
            <v>41.646133681889886</v>
          </cell>
        </row>
        <row r="193">
          <cell r="B193">
            <v>26.373510916931401</v>
          </cell>
          <cell r="C193">
            <v>11.165572819815999</v>
          </cell>
          <cell r="D193">
            <v>2.9725072499647598</v>
          </cell>
          <cell r="E193">
            <v>1.39535172772668</v>
          </cell>
          <cell r="F193">
            <v>41.906942714438834</v>
          </cell>
        </row>
        <row r="194">
          <cell r="B194">
            <v>27.279332815025501</v>
          </cell>
          <cell r="C194">
            <v>11.415320099415899</v>
          </cell>
          <cell r="D194">
            <v>3.0274341198117298</v>
          </cell>
          <cell r="E194">
            <v>1.4133258145643102</v>
          </cell>
          <cell r="F194">
            <v>43.135412848817438</v>
          </cell>
        </row>
        <row r="195">
          <cell r="B195">
            <v>27.541799823479998</v>
          </cell>
          <cell r="C195">
            <v>11.077750151804899</v>
          </cell>
          <cell r="D195">
            <v>3.0168903018131799</v>
          </cell>
          <cell r="E195">
            <v>1.47758753352496</v>
          </cell>
          <cell r="F195">
            <v>43.114027810623035</v>
          </cell>
        </row>
        <row r="196">
          <cell r="B196">
            <v>28.406829311517601</v>
          </cell>
          <cell r="C196">
            <v>11.2025805264228</v>
          </cell>
          <cell r="D196">
            <v>3.1364289967404799</v>
          </cell>
          <cell r="E196">
            <v>1.4963908126702001</v>
          </cell>
          <cell r="F196">
            <v>44.242229647351081</v>
          </cell>
        </row>
      </sheetData>
      <sheetData sheetId="6">
        <row r="3">
          <cell r="B3" t="str">
            <v>Comercial</v>
          </cell>
        </row>
      </sheetData>
      <sheetData sheetId="7">
        <row r="4">
          <cell r="B4">
            <v>5.9277071120935405</v>
          </cell>
          <cell r="C4">
            <v>4.2592386402920601</v>
          </cell>
          <cell r="D4">
            <v>3.97493200956146</v>
          </cell>
          <cell r="E4">
            <v>0</v>
          </cell>
          <cell r="F4">
            <v>14.161877761947061</v>
          </cell>
        </row>
        <row r="5">
          <cell r="B5">
            <v>6.6729177017782497</v>
          </cell>
          <cell r="C5">
            <v>4.8100085619600801</v>
          </cell>
          <cell r="D5">
            <v>4.4614822341316405</v>
          </cell>
          <cell r="E5">
            <v>0</v>
          </cell>
          <cell r="F5">
            <v>15.94440849786997</v>
          </cell>
        </row>
        <row r="6">
          <cell r="B6">
            <v>6.7892303036193002</v>
          </cell>
          <cell r="C6">
            <v>4.8175933535912998</v>
          </cell>
          <cell r="D6">
            <v>4.8833158262222698</v>
          </cell>
          <cell r="E6">
            <v>0</v>
          </cell>
          <cell r="F6">
            <v>16.49013948343287</v>
          </cell>
        </row>
        <row r="7">
          <cell r="B7">
            <v>7.2071719458754302</v>
          </cell>
          <cell r="C7">
            <v>4.8458387564002399</v>
          </cell>
          <cell r="D7">
            <v>5.2519859048157196</v>
          </cell>
          <cell r="E7">
            <v>0</v>
          </cell>
          <cell r="F7">
            <v>17.30499660709139</v>
          </cell>
        </row>
        <row r="8">
          <cell r="B8">
            <v>7.5905797110462201</v>
          </cell>
          <cell r="C8">
            <v>4.9643664191188801</v>
          </cell>
          <cell r="D8">
            <v>5.7226520445669902</v>
          </cell>
          <cell r="E8">
            <v>0</v>
          </cell>
          <cell r="F8">
            <v>18.277598174732091</v>
          </cell>
        </row>
        <row r="9">
          <cell r="B9">
            <v>7.85917815356889</v>
          </cell>
          <cell r="C9">
            <v>4.8862940576012495</v>
          </cell>
          <cell r="D9">
            <v>4.7960507879583902</v>
          </cell>
          <cell r="E9">
            <v>0</v>
          </cell>
          <cell r="F9">
            <v>17.541522999128528</v>
          </cell>
        </row>
        <row r="10">
          <cell r="B10">
            <v>6.6385959450659602</v>
          </cell>
          <cell r="C10">
            <v>4.1547952681526299</v>
          </cell>
          <cell r="D10">
            <v>4.7879224085782699</v>
          </cell>
          <cell r="E10">
            <v>0</v>
          </cell>
          <cell r="F10">
            <v>15.581313621796861</v>
          </cell>
        </row>
        <row r="11">
          <cell r="B11">
            <v>7.0419109061871898</v>
          </cell>
          <cell r="C11">
            <v>4.1308590661902702</v>
          </cell>
          <cell r="D11">
            <v>4.9978322886895201</v>
          </cell>
          <cell r="E11">
            <v>0</v>
          </cell>
          <cell r="F11">
            <v>16.170602261066978</v>
          </cell>
        </row>
        <row r="12">
          <cell r="B12">
            <v>6.6902502197925102</v>
          </cell>
          <cell r="C12">
            <v>3.86879503730496</v>
          </cell>
          <cell r="D12">
            <v>5.4393996122655004</v>
          </cell>
          <cell r="E12">
            <v>0</v>
          </cell>
          <cell r="F12">
            <v>15.99844486936297</v>
          </cell>
        </row>
        <row r="13">
          <cell r="B13">
            <v>6.8481140588914302</v>
          </cell>
          <cell r="C13">
            <v>3.6550254092690402</v>
          </cell>
          <cell r="D13">
            <v>5.4766001546040606</v>
          </cell>
          <cell r="E13">
            <v>0</v>
          </cell>
          <cell r="F13">
            <v>15.97973962276453</v>
          </cell>
        </row>
        <row r="14">
          <cell r="B14">
            <v>6.9680419238582099</v>
          </cell>
          <cell r="C14">
            <v>3.7344756165096897</v>
          </cell>
          <cell r="D14">
            <v>6.1264103377459094</v>
          </cell>
          <cell r="E14">
            <v>0</v>
          </cell>
          <cell r="F14">
            <v>16.828927878113809</v>
          </cell>
        </row>
        <row r="15">
          <cell r="B15">
            <v>7.9243190233709599</v>
          </cell>
          <cell r="C15">
            <v>3.9149477281498499</v>
          </cell>
          <cell r="D15">
            <v>7.2786393713497493</v>
          </cell>
          <cell r="E15">
            <v>0</v>
          </cell>
          <cell r="F15">
            <v>19.117906122870558</v>
          </cell>
        </row>
        <row r="16">
          <cell r="B16">
            <v>5.9145825513585697</v>
          </cell>
          <cell r="C16">
            <v>2.92743594310766</v>
          </cell>
          <cell r="D16">
            <v>6.8242211532861896</v>
          </cell>
          <cell r="E16">
            <v>0</v>
          </cell>
          <cell r="F16">
            <v>15.66623964775242</v>
          </cell>
        </row>
        <row r="17">
          <cell r="B17">
            <v>6.1940218024793197</v>
          </cell>
          <cell r="C17">
            <v>3.0896117293393996</v>
          </cell>
          <cell r="D17">
            <v>7.0311611425583092</v>
          </cell>
          <cell r="E17">
            <v>0</v>
          </cell>
          <cell r="F17">
            <v>16.314794674377026</v>
          </cell>
        </row>
        <row r="18">
          <cell r="B18">
            <v>5.5306388770805706</v>
          </cell>
          <cell r="C18">
            <v>2.8353484801341802</v>
          </cell>
          <cell r="D18">
            <v>5.2672482517305808</v>
          </cell>
          <cell r="E18">
            <v>0</v>
          </cell>
          <cell r="F18">
            <v>13.633235608945331</v>
          </cell>
        </row>
        <row r="19">
          <cell r="B19">
            <v>5.3533716350843203</v>
          </cell>
          <cell r="C19">
            <v>2.5235337515447203</v>
          </cell>
          <cell r="D19">
            <v>4.6819556115912908</v>
          </cell>
          <cell r="E19">
            <v>0</v>
          </cell>
          <cell r="F19">
            <v>12.558860998220332</v>
          </cell>
        </row>
        <row r="20">
          <cell r="B20">
            <v>5.4275564806559897</v>
          </cell>
          <cell r="C20">
            <v>2.4773230674360298</v>
          </cell>
          <cell r="D20">
            <v>3.9961861663607996</v>
          </cell>
          <cell r="E20">
            <v>0</v>
          </cell>
          <cell r="F20">
            <v>11.90106571445282</v>
          </cell>
        </row>
        <row r="21">
          <cell r="B21">
            <v>5.2974286272302002</v>
          </cell>
          <cell r="C21">
            <v>2.4002572757690901</v>
          </cell>
          <cell r="D21">
            <v>3.8068894902851</v>
          </cell>
          <cell r="E21">
            <v>0</v>
          </cell>
          <cell r="F21">
            <v>11.504575393284391</v>
          </cell>
        </row>
        <row r="22">
          <cell r="B22">
            <v>4.7125877356939201</v>
          </cell>
          <cell r="C22">
            <v>2.3587560617307299</v>
          </cell>
          <cell r="D22">
            <v>3.64667133458746</v>
          </cell>
          <cell r="E22">
            <v>0</v>
          </cell>
          <cell r="F22">
            <v>10.718015132012109</v>
          </cell>
        </row>
        <row r="23">
          <cell r="B23">
            <v>4.9967970690837298</v>
          </cell>
          <cell r="C23">
            <v>2.4563929515525196</v>
          </cell>
          <cell r="D23">
            <v>4.1944913599251397</v>
          </cell>
          <cell r="E23">
            <v>0</v>
          </cell>
          <cell r="F23">
            <v>11.647681380561389</v>
          </cell>
        </row>
        <row r="24">
          <cell r="B24">
            <v>5.0175674297483797</v>
          </cell>
          <cell r="C24">
            <v>2.3540188106512798</v>
          </cell>
          <cell r="D24">
            <v>4.4985902444974295</v>
          </cell>
          <cell r="E24">
            <v>0</v>
          </cell>
          <cell r="F24">
            <v>11.87017648489709</v>
          </cell>
        </row>
        <row r="25">
          <cell r="B25">
            <v>4.8429339832939897</v>
          </cell>
          <cell r="C25">
            <v>2.2263548841602203</v>
          </cell>
          <cell r="D25">
            <v>5.13170681625156</v>
          </cell>
          <cell r="E25">
            <v>0</v>
          </cell>
          <cell r="F25">
            <v>12.20099568370577</v>
          </cell>
        </row>
        <row r="26">
          <cell r="B26">
            <v>4.30129431793815</v>
          </cell>
          <cell r="C26">
            <v>1.95562380628106</v>
          </cell>
          <cell r="D26">
            <v>4.9417036908643706</v>
          </cell>
          <cell r="E26">
            <v>0</v>
          </cell>
          <cell r="F26">
            <v>11.19862181508358</v>
          </cell>
        </row>
        <row r="27">
          <cell r="B27">
            <v>3.9553373630053503</v>
          </cell>
          <cell r="C27">
            <v>1.9436066567303301</v>
          </cell>
          <cell r="D27">
            <v>5.2349724365455002</v>
          </cell>
          <cell r="E27">
            <v>0</v>
          </cell>
          <cell r="F27">
            <v>11.133916456281181</v>
          </cell>
        </row>
        <row r="28">
          <cell r="B28">
            <v>3.69462176528112</v>
          </cell>
          <cell r="C28">
            <v>1.69679892665901</v>
          </cell>
          <cell r="D28">
            <v>5.2474729410248804</v>
          </cell>
          <cell r="E28">
            <v>0</v>
          </cell>
          <cell r="F28">
            <v>10.638893632965011</v>
          </cell>
        </row>
        <row r="29">
          <cell r="B29">
            <v>3.87164903306694</v>
          </cell>
          <cell r="C29">
            <v>1.6949417368337401</v>
          </cell>
          <cell r="D29">
            <v>5.3486566697394604</v>
          </cell>
          <cell r="E29">
            <v>0</v>
          </cell>
          <cell r="F29">
            <v>10.91524743964014</v>
          </cell>
        </row>
        <row r="30">
          <cell r="B30">
            <v>3.64368888919453</v>
          </cell>
          <cell r="C30">
            <v>1.72109093248569</v>
          </cell>
          <cell r="D30">
            <v>5.3675911982244999</v>
          </cell>
          <cell r="E30">
            <v>0</v>
          </cell>
          <cell r="F30">
            <v>10.73237101990472</v>
          </cell>
        </row>
        <row r="31">
          <cell r="B31">
            <v>3.56449469463531</v>
          </cell>
          <cell r="C31">
            <v>1.5876065420363099</v>
          </cell>
          <cell r="D31">
            <v>5.4333579121965396</v>
          </cell>
          <cell r="E31">
            <v>0</v>
          </cell>
          <cell r="F31">
            <v>10.585459148868161</v>
          </cell>
        </row>
        <row r="32">
          <cell r="B32">
            <v>3.60589503315355</v>
          </cell>
          <cell r="C32">
            <v>1.6354419969779501</v>
          </cell>
          <cell r="D32">
            <v>5.0960870053636906</v>
          </cell>
          <cell r="E32">
            <v>0</v>
          </cell>
          <cell r="F32">
            <v>10.337424035495191</v>
          </cell>
        </row>
        <row r="33">
          <cell r="B33">
            <v>3.5890543237078001</v>
          </cell>
          <cell r="C33">
            <v>1.4958223291673101</v>
          </cell>
          <cell r="D33">
            <v>5.0279331540915004</v>
          </cell>
          <cell r="E33">
            <v>0</v>
          </cell>
          <cell r="F33">
            <v>10.112809806966609</v>
          </cell>
        </row>
        <row r="34">
          <cell r="B34">
            <v>3.42758977012216</v>
          </cell>
          <cell r="C34">
            <v>1.39885816420164</v>
          </cell>
          <cell r="D34">
            <v>5.0477470363691399</v>
          </cell>
          <cell r="E34">
            <v>0</v>
          </cell>
          <cell r="F34">
            <v>9.8741949706929404</v>
          </cell>
        </row>
        <row r="35">
          <cell r="B35">
            <v>3.41060861671949</v>
          </cell>
          <cell r="C35">
            <v>1.4389163886187601</v>
          </cell>
          <cell r="D35">
            <v>5.0552430483008006</v>
          </cell>
          <cell r="E35">
            <v>0</v>
          </cell>
          <cell r="F35">
            <v>9.9047680536390512</v>
          </cell>
        </row>
        <row r="36">
          <cell r="B36">
            <v>3.3456435826486302</v>
          </cell>
          <cell r="C36">
            <v>1.3560551404738901</v>
          </cell>
          <cell r="D36">
            <v>5.1641381574521601</v>
          </cell>
          <cell r="E36">
            <v>0</v>
          </cell>
          <cell r="F36">
            <v>9.8658368805746797</v>
          </cell>
        </row>
        <row r="37">
          <cell r="B37">
            <v>3.12747671345485</v>
          </cell>
          <cell r="C37">
            <v>1.33859933513096</v>
          </cell>
          <cell r="D37">
            <v>5.3065049970172504</v>
          </cell>
          <cell r="E37">
            <v>0</v>
          </cell>
          <cell r="F37">
            <v>9.7725810456030615</v>
          </cell>
        </row>
        <row r="38">
          <cell r="B38">
            <v>3.0576126528189103</v>
          </cell>
          <cell r="C38">
            <v>1.3539234087651801</v>
          </cell>
          <cell r="D38">
            <v>5.2194471322038698</v>
          </cell>
          <cell r="E38">
            <v>0</v>
          </cell>
          <cell r="F38">
            <v>9.6309831937879604</v>
          </cell>
        </row>
        <row r="39">
          <cell r="B39">
            <v>2.8770165822790799</v>
          </cell>
          <cell r="C39">
            <v>1.2511499855193802</v>
          </cell>
          <cell r="D39">
            <v>5.2946885677192403</v>
          </cell>
          <cell r="E39">
            <v>0</v>
          </cell>
          <cell r="F39">
            <v>9.4228551355177004</v>
          </cell>
        </row>
        <row r="40">
          <cell r="B40">
            <v>2.5592099643855799</v>
          </cell>
          <cell r="C40">
            <v>1.1493339316027802</v>
          </cell>
          <cell r="D40">
            <v>5.15427260636611</v>
          </cell>
          <cell r="E40">
            <v>0</v>
          </cell>
          <cell r="F40">
            <v>8.8628165023544696</v>
          </cell>
        </row>
        <row r="41">
          <cell r="B41">
            <v>3.4054829036950998</v>
          </cell>
          <cell r="C41">
            <v>1.01681846137948</v>
          </cell>
          <cell r="D41">
            <v>8.1308427730297197</v>
          </cell>
          <cell r="E41">
            <v>1.5163928861040401E-2</v>
          </cell>
          <cell r="F41">
            <v>12.56830806696534</v>
          </cell>
        </row>
        <row r="42">
          <cell r="B42">
            <v>3.22951138205981</v>
          </cell>
          <cell r="C42">
            <v>1.0600118684775899</v>
          </cell>
          <cell r="D42">
            <v>8.083406821389989</v>
          </cell>
          <cell r="E42">
            <v>1.60428918555728E-2</v>
          </cell>
          <cell r="F42">
            <v>12.388972963782962</v>
          </cell>
        </row>
        <row r="43">
          <cell r="B43">
            <v>3.0098963198305202</v>
          </cell>
          <cell r="C43">
            <v>1.0747867669037299</v>
          </cell>
          <cell r="D43">
            <v>8.2667197387854099</v>
          </cell>
          <cell r="E43">
            <v>1.9363249644833901E-2</v>
          </cell>
          <cell r="F43">
            <v>12.370766075164493</v>
          </cell>
        </row>
        <row r="44">
          <cell r="B44">
            <v>2.9320099552810204</v>
          </cell>
          <cell r="C44">
            <v>0.98494530127428193</v>
          </cell>
          <cell r="D44">
            <v>8.1595072555541392</v>
          </cell>
          <cell r="E44">
            <v>1.8150188302171098E-2</v>
          </cell>
          <cell r="F44">
            <v>12.094612700411611</v>
          </cell>
        </row>
        <row r="45">
          <cell r="B45">
            <v>2.7857941346611401</v>
          </cell>
          <cell r="C45">
            <v>0.98294742289583603</v>
          </cell>
          <cell r="D45">
            <v>8.1516721951986497</v>
          </cell>
          <cell r="E45">
            <v>1.8420856702533402E-2</v>
          </cell>
          <cell r="F45">
            <v>11.938834609458159</v>
          </cell>
        </row>
        <row r="46">
          <cell r="B46">
            <v>2.88121476140372</v>
          </cell>
          <cell r="C46">
            <v>0.93067791289233304</v>
          </cell>
          <cell r="D46">
            <v>7.9616350277671604</v>
          </cell>
          <cell r="E46">
            <v>1.9637333081436101E-2</v>
          </cell>
          <cell r="F46">
            <v>11.793165035144648</v>
          </cell>
        </row>
        <row r="47">
          <cell r="B47">
            <v>2.87522806971152</v>
          </cell>
          <cell r="C47">
            <v>0.88686857144002607</v>
          </cell>
          <cell r="D47">
            <v>7.8479271710315901</v>
          </cell>
          <cell r="E47">
            <v>1.9859364160015602E-2</v>
          </cell>
          <cell r="F47">
            <v>11.629883176343153</v>
          </cell>
        </row>
        <row r="48">
          <cell r="B48">
            <v>2.5225929559721498</v>
          </cell>
          <cell r="C48">
            <v>0.87968446889462903</v>
          </cell>
          <cell r="D48">
            <v>7.85754096510653</v>
          </cell>
          <cell r="E48">
            <v>4.8189764305711903E-2</v>
          </cell>
          <cell r="F48">
            <v>11.308008154279021</v>
          </cell>
        </row>
        <row r="49">
          <cell r="B49">
            <v>2.4049511177213998</v>
          </cell>
          <cell r="C49">
            <v>0.92324177155588194</v>
          </cell>
          <cell r="D49">
            <v>7.7537936600943498</v>
          </cell>
          <cell r="E49">
            <v>4.9654713576122E-2</v>
          </cell>
          <cell r="F49">
            <v>11.131641262947753</v>
          </cell>
        </row>
        <row r="50">
          <cell r="B50">
            <v>2.35230883085269</v>
          </cell>
          <cell r="C50">
            <v>0.91855806963332798</v>
          </cell>
          <cell r="D50">
            <v>7.6632115339726692</v>
          </cell>
          <cell r="E50">
            <v>5.2272734436822496E-2</v>
          </cell>
          <cell r="F50">
            <v>10.98635116889551</v>
          </cell>
        </row>
        <row r="51">
          <cell r="B51">
            <v>2.4023559104585601</v>
          </cell>
          <cell r="C51">
            <v>0.96248705795732403</v>
          </cell>
          <cell r="D51">
            <v>7.5232842526566097</v>
          </cell>
          <cell r="E51">
            <v>5.3459792078556001E-2</v>
          </cell>
          <cell r="F51">
            <v>10.94158701315105</v>
          </cell>
        </row>
        <row r="52">
          <cell r="B52">
            <v>2.1626022946518799</v>
          </cell>
          <cell r="C52">
            <v>0.85385233883212397</v>
          </cell>
          <cell r="D52">
            <v>7.2002533437080602</v>
          </cell>
          <cell r="E52">
            <v>4.7263883117406098E-2</v>
          </cell>
          <cell r="F52">
            <v>10.26397186030947</v>
          </cell>
        </row>
        <row r="53">
          <cell r="B53">
            <v>2.1271102218967299</v>
          </cell>
          <cell r="C53">
            <v>0.89352472639941805</v>
          </cell>
          <cell r="D53">
            <v>7.1042267191789801</v>
          </cell>
          <cell r="E53">
            <v>4.8333654950396501E-2</v>
          </cell>
          <cell r="F53">
            <v>10.173195322425524</v>
          </cell>
        </row>
        <row r="54">
          <cell r="B54">
            <v>2.18127141911781</v>
          </cell>
          <cell r="C54">
            <v>0.92805032087134798</v>
          </cell>
          <cell r="D54">
            <v>6.9245789388857695</v>
          </cell>
          <cell r="E54">
            <v>4.9389833970352501E-2</v>
          </cell>
          <cell r="F54">
            <v>10.083290512845279</v>
          </cell>
        </row>
        <row r="55">
          <cell r="B55">
            <v>2.0541725087460501</v>
          </cell>
          <cell r="C55">
            <v>0.94910428284928505</v>
          </cell>
          <cell r="D55">
            <v>7.1310098164585201</v>
          </cell>
          <cell r="E55">
            <v>4.9002603018455299E-2</v>
          </cell>
          <cell r="F55">
            <v>10.18328921107231</v>
          </cell>
        </row>
        <row r="56">
          <cell r="B56">
            <v>1.9761609258185899</v>
          </cell>
          <cell r="C56">
            <v>0.93167634812463407</v>
          </cell>
          <cell r="D56">
            <v>7.0518449119712603</v>
          </cell>
          <cell r="E56">
            <v>4.8204970818805502E-2</v>
          </cell>
          <cell r="F56">
            <v>10.00788715673329</v>
          </cell>
        </row>
        <row r="57">
          <cell r="B57">
            <v>2.0291061960170298</v>
          </cell>
          <cell r="C57">
            <v>0.91423735992321398</v>
          </cell>
          <cell r="D57">
            <v>7.0823178890099294</v>
          </cell>
          <cell r="E57">
            <v>4.6971384513026501E-2</v>
          </cell>
          <cell r="F57">
            <v>10.072632829463201</v>
          </cell>
        </row>
        <row r="58">
          <cell r="B58">
            <v>1.76201685071366</v>
          </cell>
          <cell r="C58">
            <v>0.91944239788772497</v>
          </cell>
          <cell r="D58">
            <v>6.8600017056268197</v>
          </cell>
          <cell r="E58">
            <v>4.8615658560769E-2</v>
          </cell>
          <cell r="F58">
            <v>9.5900766127889732</v>
          </cell>
        </row>
        <row r="59">
          <cell r="B59">
            <v>1.72304270178763</v>
          </cell>
          <cell r="C59">
            <v>0.85679964056626901</v>
          </cell>
          <cell r="D59">
            <v>6.6734581231968297</v>
          </cell>
          <cell r="E59">
            <v>4.8306606615569896E-2</v>
          </cell>
          <cell r="F59">
            <v>9.3016070721663002</v>
          </cell>
        </row>
        <row r="60">
          <cell r="B60">
            <v>1.7215009560404999</v>
          </cell>
          <cell r="C60">
            <v>0.91313567508479498</v>
          </cell>
          <cell r="D60">
            <v>6.6946164985598093</v>
          </cell>
          <cell r="E60">
            <v>4.8783130131413804E-2</v>
          </cell>
          <cell r="F60">
            <v>9.3780362598165166</v>
          </cell>
        </row>
        <row r="61">
          <cell r="B61">
            <v>1.67632766623244</v>
          </cell>
          <cell r="C61">
            <v>0.91414412922468702</v>
          </cell>
          <cell r="D61">
            <v>6.60230463752319</v>
          </cell>
          <cell r="E61">
            <v>4.7183808887208405E-2</v>
          </cell>
          <cell r="F61">
            <v>9.2399602418675251</v>
          </cell>
        </row>
        <row r="62">
          <cell r="B62">
            <v>1.58733514134757</v>
          </cell>
          <cell r="C62">
            <v>0.90883807951581896</v>
          </cell>
          <cell r="D62">
            <v>6.5534812818819903</v>
          </cell>
          <cell r="E62">
            <v>4.9038313094840101E-2</v>
          </cell>
          <cell r="F62">
            <v>9.09869281584022</v>
          </cell>
        </row>
        <row r="63">
          <cell r="B63">
            <v>1.4898851986256101</v>
          </cell>
          <cell r="C63">
            <v>0.95988119544059702</v>
          </cell>
          <cell r="D63">
            <v>6.4776641451929304</v>
          </cell>
          <cell r="E63">
            <v>5.3197956153510799E-2</v>
          </cell>
          <cell r="F63">
            <v>8.980628495412649</v>
          </cell>
        </row>
        <row r="64">
          <cell r="B64">
            <v>1.36797936460832</v>
          </cell>
          <cell r="C64">
            <v>0.84707912948017894</v>
          </cell>
          <cell r="D64">
            <v>5.82619106575891</v>
          </cell>
          <cell r="E64">
            <v>5.2548302477119696E-2</v>
          </cell>
          <cell r="F64">
            <v>8.0937978623245286</v>
          </cell>
        </row>
        <row r="65">
          <cell r="B65">
            <v>1.6779590011019598</v>
          </cell>
          <cell r="C65">
            <v>0.90828773400486895</v>
          </cell>
          <cell r="D65">
            <v>5.85330343332675</v>
          </cell>
          <cell r="E65">
            <v>5.5791489853780095E-2</v>
          </cell>
          <cell r="F65">
            <v>8.4953416582873587</v>
          </cell>
        </row>
        <row r="66">
          <cell r="B66">
            <v>1.63071471910754</v>
          </cell>
          <cell r="C66">
            <v>0.94802800513363306</v>
          </cell>
          <cell r="D66">
            <v>5.7163901979248504</v>
          </cell>
          <cell r="E66">
            <v>5.6826025081082206E-2</v>
          </cell>
          <cell r="F66">
            <v>8.3519589472471054</v>
          </cell>
        </row>
        <row r="67">
          <cell r="B67">
            <v>1.55391061600755</v>
          </cell>
          <cell r="C67">
            <v>0.960980167696871</v>
          </cell>
          <cell r="D67">
            <v>5.67136328880013</v>
          </cell>
          <cell r="E67">
            <v>6.0565090057165198E-2</v>
          </cell>
          <cell r="F67">
            <v>8.2468191625617155</v>
          </cell>
        </row>
        <row r="68">
          <cell r="B68">
            <v>1.5876798791131301</v>
          </cell>
          <cell r="C68">
            <v>0.99500599267382395</v>
          </cell>
          <cell r="D68">
            <v>5.6426826851353598</v>
          </cell>
          <cell r="E68">
            <v>6.5366424394362396E-2</v>
          </cell>
          <cell r="F68">
            <v>8.2907349813166764</v>
          </cell>
        </row>
        <row r="69">
          <cell r="B69">
            <v>1.5272919749717</v>
          </cell>
          <cell r="C69">
            <v>1.00187006782562</v>
          </cell>
          <cell r="D69">
            <v>5.4100134994368299</v>
          </cell>
          <cell r="E69">
            <v>6.6387558835122693E-2</v>
          </cell>
          <cell r="F69">
            <v>8.0055631010692725</v>
          </cell>
        </row>
        <row r="70">
          <cell r="B70">
            <v>1.4963698574838</v>
          </cell>
          <cell r="C70">
            <v>0.96669945948579594</v>
          </cell>
          <cell r="D70">
            <v>4.5323389411003596</v>
          </cell>
          <cell r="E70">
            <v>6.7030305405522003E-2</v>
          </cell>
          <cell r="F70">
            <v>7.062438563475478</v>
          </cell>
        </row>
        <row r="71">
          <cell r="B71">
            <v>1.5818487568241502</v>
          </cell>
          <cell r="C71">
            <v>0.99643411465871801</v>
          </cell>
          <cell r="D71">
            <v>4.4421235894260995</v>
          </cell>
          <cell r="E71">
            <v>7.0193482255120995E-2</v>
          </cell>
          <cell r="F71">
            <v>7.0905999431640883</v>
          </cell>
        </row>
        <row r="72">
          <cell r="B72">
            <v>1.5578108089755098</v>
          </cell>
          <cell r="C72">
            <v>0.97229733656086603</v>
          </cell>
          <cell r="D72">
            <v>4.07438705410088</v>
          </cell>
          <cell r="E72">
            <v>6.6940030895376798E-2</v>
          </cell>
          <cell r="F72">
            <v>6.6714352305326328</v>
          </cell>
        </row>
        <row r="73">
          <cell r="B73">
            <v>1.43388313262547</v>
          </cell>
          <cell r="C73">
            <v>1.0135212263770199</v>
          </cell>
          <cell r="D73">
            <v>3.6120636148871297</v>
          </cell>
          <cell r="E73">
            <v>6.7891338220686603E-2</v>
          </cell>
          <cell r="F73">
            <v>6.1273593121103058</v>
          </cell>
        </row>
        <row r="74">
          <cell r="B74">
            <v>1.4064158980643402</v>
          </cell>
          <cell r="C74">
            <v>1.02433448144664</v>
          </cell>
          <cell r="D74">
            <v>3.5311301112611697</v>
          </cell>
          <cell r="E74">
            <v>7.1319538398307403E-2</v>
          </cell>
          <cell r="F74">
            <v>6.0332000291704571</v>
          </cell>
        </row>
        <row r="75">
          <cell r="B75">
            <v>1.4102484799644301</v>
          </cell>
          <cell r="C75">
            <v>1.02549988870135</v>
          </cell>
          <cell r="D75">
            <v>3.3800059077475098</v>
          </cell>
          <cell r="E75">
            <v>7.9377512293956204E-2</v>
          </cell>
          <cell r="F75">
            <v>5.8951317887072463</v>
          </cell>
        </row>
        <row r="76">
          <cell r="B76">
            <v>1.2388925281991701</v>
          </cell>
          <cell r="C76">
            <v>0.88335673604047404</v>
          </cell>
          <cell r="D76">
            <v>2.5384033237757704</v>
          </cell>
          <cell r="E76">
            <v>7.4603752256213601E-2</v>
          </cell>
          <cell r="F76">
            <v>4.7352563402716283</v>
          </cell>
        </row>
        <row r="77">
          <cell r="B77">
            <v>1.3490977625132599</v>
          </cell>
          <cell r="C77">
            <v>0.948922330141443</v>
          </cell>
          <cell r="D77">
            <v>2.6355034171334801</v>
          </cell>
          <cell r="E77">
            <v>8.3463991522451597E-2</v>
          </cell>
          <cell r="F77">
            <v>5.0169875013106342</v>
          </cell>
        </row>
        <row r="78">
          <cell r="B78">
            <v>1.3069160588764199</v>
          </cell>
          <cell r="C78">
            <v>1.0371997015638099</v>
          </cell>
          <cell r="D78">
            <v>2.5436103703506396</v>
          </cell>
          <cell r="E78">
            <v>8.5913810093311394E-2</v>
          </cell>
          <cell r="F78">
            <v>4.9736399408841807</v>
          </cell>
        </row>
        <row r="79">
          <cell r="B79">
            <v>1.3512048689115901</v>
          </cell>
          <cell r="C79">
            <v>1.0826576661010598</v>
          </cell>
          <cell r="D79">
            <v>2.5837628914151103</v>
          </cell>
          <cell r="E79">
            <v>8.4802119700274792E-2</v>
          </cell>
          <cell r="F79">
            <v>5.102427546128034</v>
          </cell>
        </row>
        <row r="80">
          <cell r="B80">
            <v>1.3556990920813001</v>
          </cell>
          <cell r="C80">
            <v>1.0887576975969602</v>
          </cell>
          <cell r="D80">
            <v>2.4698772514610501</v>
          </cell>
          <cell r="E80">
            <v>8.5000341979231592E-2</v>
          </cell>
          <cell r="F80">
            <v>4.9993343831185424</v>
          </cell>
        </row>
        <row r="81">
          <cell r="B81">
            <v>1.3957943300704501</v>
          </cell>
          <cell r="C81">
            <v>1.1193955624849501</v>
          </cell>
          <cell r="D81">
            <v>2.5217147562625901</v>
          </cell>
          <cell r="E81">
            <v>8.7146126278290298E-2</v>
          </cell>
          <cell r="F81">
            <v>5.1240507750962809</v>
          </cell>
        </row>
        <row r="82">
          <cell r="B82">
            <v>1.28594439723159</v>
          </cell>
          <cell r="C82">
            <v>1.0335605969433099</v>
          </cell>
          <cell r="D82">
            <v>2.3842423880372703</v>
          </cell>
          <cell r="E82">
            <v>8.4288841000342507E-2</v>
          </cell>
          <cell r="F82">
            <v>4.7880362232125124</v>
          </cell>
        </row>
        <row r="83">
          <cell r="B83">
            <v>1.4543309550483898</v>
          </cell>
          <cell r="C83">
            <v>1.08739943666413</v>
          </cell>
          <cell r="D83">
            <v>2.3270911736414099</v>
          </cell>
          <cell r="E83">
            <v>8.8419415397027107E-2</v>
          </cell>
          <cell r="F83">
            <v>4.9572409807509565</v>
          </cell>
        </row>
        <row r="84">
          <cell r="B84">
            <v>1.41416737439008</v>
          </cell>
          <cell r="C84">
            <v>1.0804655625892798</v>
          </cell>
          <cell r="D84">
            <v>2.3289521211876001</v>
          </cell>
          <cell r="E84">
            <v>8.9391461577768588E-2</v>
          </cell>
          <cell r="F84">
            <v>4.9129765197447295</v>
          </cell>
        </row>
        <row r="85">
          <cell r="B85">
            <v>1.3893227448018799</v>
          </cell>
          <cell r="C85">
            <v>1.0851993293863</v>
          </cell>
          <cell r="D85">
            <v>2.24135405176931</v>
          </cell>
          <cell r="E85">
            <v>9.1674508899806897E-2</v>
          </cell>
          <cell r="F85">
            <v>4.8075506348572965</v>
          </cell>
        </row>
        <row r="86">
          <cell r="B86">
            <v>1.4183255289926699</v>
          </cell>
          <cell r="C86">
            <v>1.2083440997444799</v>
          </cell>
          <cell r="D86">
            <v>2.27073981686513</v>
          </cell>
          <cell r="E86">
            <v>8.8578901032059398E-2</v>
          </cell>
          <cell r="F86">
            <v>4.9859883466343398</v>
          </cell>
        </row>
        <row r="87">
          <cell r="B87">
            <v>1.3878969751074099</v>
          </cell>
          <cell r="C87">
            <v>1.2051121792130699</v>
          </cell>
          <cell r="D87">
            <v>2.25233089623875</v>
          </cell>
          <cell r="E87">
            <v>9.1317876967851805E-2</v>
          </cell>
          <cell r="F87">
            <v>4.9366579275270821</v>
          </cell>
        </row>
        <row r="88">
          <cell r="B88">
            <v>1.20747557626973</v>
          </cell>
          <cell r="C88">
            <v>1.09704973768625</v>
          </cell>
          <cell r="D88">
            <v>1.77850584732182</v>
          </cell>
          <cell r="E88">
            <v>9.0194158170073702E-2</v>
          </cell>
          <cell r="F88">
            <v>4.1732253194478739</v>
          </cell>
        </row>
        <row r="89">
          <cell r="B89">
            <v>1.40307445020202</v>
          </cell>
          <cell r="C89">
            <v>1.2220791453609701</v>
          </cell>
          <cell r="D89">
            <v>1.8812415521260699</v>
          </cell>
          <cell r="E89">
            <v>9.7307842265069208E-2</v>
          </cell>
          <cell r="F89">
            <v>4.6037029899541295</v>
          </cell>
        </row>
        <row r="90">
          <cell r="B90">
            <v>1.4496931064151102</v>
          </cell>
          <cell r="C90">
            <v>1.2954223408655601</v>
          </cell>
          <cell r="D90">
            <v>1.80922720966405</v>
          </cell>
          <cell r="E90">
            <v>0.10762116142825801</v>
          </cell>
          <cell r="F90">
            <v>4.6619638183729792</v>
          </cell>
        </row>
        <row r="91">
          <cell r="B91">
            <v>1.4894304839109</v>
          </cell>
          <cell r="C91">
            <v>1.35670736151813</v>
          </cell>
          <cell r="D91">
            <v>1.83897621381651</v>
          </cell>
          <cell r="E91">
            <v>0.11314119772209699</v>
          </cell>
          <cell r="F91">
            <v>4.7982552569676375</v>
          </cell>
        </row>
        <row r="92">
          <cell r="B92">
            <v>1.6572274037199</v>
          </cell>
          <cell r="C92">
            <v>1.4478301979583399</v>
          </cell>
          <cell r="D92">
            <v>1.7854722553813001</v>
          </cell>
          <cell r="E92">
            <v>0.118262563136722</v>
          </cell>
          <cell r="F92">
            <v>5.0087924201962624</v>
          </cell>
        </row>
        <row r="93">
          <cell r="B93">
            <v>1.57998306598784</v>
          </cell>
          <cell r="C93">
            <v>2.0513355460985099</v>
          </cell>
          <cell r="D93">
            <v>1.8066042352076599</v>
          </cell>
          <cell r="E93">
            <v>0.119053589706883</v>
          </cell>
          <cell r="F93">
            <v>5.5569764370008929</v>
          </cell>
        </row>
        <row r="94">
          <cell r="B94">
            <v>1.4855404104079999</v>
          </cell>
          <cell r="C94">
            <v>1.5336351466734399</v>
          </cell>
          <cell r="D94">
            <v>1.6946605451160399</v>
          </cell>
          <cell r="E94">
            <v>0.12094778123988201</v>
          </cell>
          <cell r="F94">
            <v>4.8347838834373613</v>
          </cell>
        </row>
        <row r="95">
          <cell r="B95">
            <v>1.6635788867571399</v>
          </cell>
          <cell r="C95">
            <v>1.61029815358283</v>
          </cell>
          <cell r="D95">
            <v>1.6664677250248001</v>
          </cell>
          <cell r="E95">
            <v>0.126105776852836</v>
          </cell>
          <cell r="F95">
            <v>5.0664505422176065</v>
          </cell>
        </row>
        <row r="96">
          <cell r="B96">
            <v>1.4324617724008801</v>
          </cell>
          <cell r="C96">
            <v>1.60096298911095</v>
          </cell>
          <cell r="D96">
            <v>1.66831395987982</v>
          </cell>
          <cell r="E96">
            <v>0.12473818935213099</v>
          </cell>
          <cell r="F96">
            <v>4.8264769107437813</v>
          </cell>
        </row>
        <row r="97">
          <cell r="B97">
            <v>1.5425175194738301</v>
          </cell>
          <cell r="C97">
            <v>1.64359154540365</v>
          </cell>
          <cell r="D97">
            <v>1.59390179343992</v>
          </cell>
          <cell r="E97">
            <v>0.13002901912988998</v>
          </cell>
          <cell r="F97">
            <v>4.9100398774472902</v>
          </cell>
        </row>
        <row r="98">
          <cell r="B98">
            <v>1.5435842882131801</v>
          </cell>
          <cell r="C98">
            <v>1.7878234450272099</v>
          </cell>
          <cell r="D98">
            <v>1.6219848918367501</v>
          </cell>
          <cell r="E98">
            <v>0.13026167904635999</v>
          </cell>
          <cell r="F98">
            <v>5.0836543041234989</v>
          </cell>
        </row>
        <row r="99">
          <cell r="B99">
            <v>1.4715417440095899</v>
          </cell>
          <cell r="C99">
            <v>1.8642600055357901</v>
          </cell>
          <cell r="D99">
            <v>1.60721086885022</v>
          </cell>
          <cell r="E99">
            <v>0.13241316493517999</v>
          </cell>
          <cell r="F99">
            <v>5.0754257833307799</v>
          </cell>
        </row>
        <row r="100">
          <cell r="B100">
            <v>1.41267874849427</v>
          </cell>
          <cell r="C100">
            <v>1.8131367931187898</v>
          </cell>
          <cell r="D100">
            <v>1.43175414950102</v>
          </cell>
          <cell r="E100">
            <v>0.136301883281301</v>
          </cell>
          <cell r="F100">
            <v>4.7938715743953813</v>
          </cell>
        </row>
        <row r="101">
          <cell r="B101">
            <v>1.5554872849000199</v>
          </cell>
          <cell r="C101">
            <v>1.94726701698025</v>
          </cell>
          <cell r="D101">
            <v>1.51412394966257</v>
          </cell>
          <cell r="E101">
            <v>0.142010849221897</v>
          </cell>
          <cell r="F101">
            <v>5.1588891007647373</v>
          </cell>
        </row>
        <row r="102">
          <cell r="B102">
            <v>1.6324405400746902</v>
          </cell>
          <cell r="C102">
            <v>2.05711265602987</v>
          </cell>
          <cell r="D102">
            <v>1.4289998994292601</v>
          </cell>
          <cell r="E102">
            <v>0.148612079623715</v>
          </cell>
          <cell r="F102">
            <v>5.267165175157535</v>
          </cell>
        </row>
        <row r="103">
          <cell r="B103">
            <v>1.6209958889115901</v>
          </cell>
          <cell r="C103">
            <v>2.1250053941919202</v>
          </cell>
          <cell r="D103">
            <v>1.48772615809877</v>
          </cell>
          <cell r="E103">
            <v>0.155607146585821</v>
          </cell>
          <cell r="F103">
            <v>5.3893345877881007</v>
          </cell>
        </row>
        <row r="104">
          <cell r="B104">
            <v>1.84892076875636</v>
          </cell>
          <cell r="C104">
            <v>2.23175415309694</v>
          </cell>
          <cell r="D104">
            <v>1.54016835287179</v>
          </cell>
          <cell r="E104">
            <v>0.15916386748287001</v>
          </cell>
          <cell r="F104">
            <v>5.7800071422079595</v>
          </cell>
        </row>
        <row r="105">
          <cell r="B105">
            <v>1.77899723659555</v>
          </cell>
          <cell r="C105">
            <v>2.28401591875835</v>
          </cell>
          <cell r="D105">
            <v>1.56498155079506</v>
          </cell>
          <cell r="E105">
            <v>0.15964027859167201</v>
          </cell>
          <cell r="F105">
            <v>5.7876349847406319</v>
          </cell>
        </row>
        <row r="106">
          <cell r="B106">
            <v>1.8295134569382101</v>
          </cell>
          <cell r="C106">
            <v>2.4514537578200102</v>
          </cell>
          <cell r="D106">
            <v>1.49171749268683</v>
          </cell>
          <cell r="E106">
            <v>0.16808427952938199</v>
          </cell>
          <cell r="F106">
            <v>5.9407689869744322</v>
          </cell>
        </row>
        <row r="107">
          <cell r="B107">
            <v>1.9934691453539</v>
          </cell>
          <cell r="C107">
            <v>2.5520470803775499</v>
          </cell>
          <cell r="D107">
            <v>1.5428681209367399</v>
          </cell>
          <cell r="E107">
            <v>0.17570307020888801</v>
          </cell>
          <cell r="F107">
            <v>6.2640874168770777</v>
          </cell>
        </row>
        <row r="108">
          <cell r="B108">
            <v>2.0311060514749801</v>
          </cell>
          <cell r="C108">
            <v>2.5793998995471603</v>
          </cell>
          <cell r="D108">
            <v>1.5239891430130501</v>
          </cell>
          <cell r="E108">
            <v>0.17475675556346398</v>
          </cell>
          <cell r="F108">
            <v>6.3092518495986551</v>
          </cell>
        </row>
        <row r="109">
          <cell r="B109">
            <v>2.0708324674660599</v>
          </cell>
          <cell r="C109">
            <v>2.7534577330196699</v>
          </cell>
          <cell r="D109">
            <v>1.5045021066119</v>
          </cell>
          <cell r="E109">
            <v>0.19274989679327198</v>
          </cell>
          <cell r="F109">
            <v>6.5215422038909017</v>
          </cell>
        </row>
        <row r="110">
          <cell r="B110">
            <v>2.1846236958226699</v>
          </cell>
          <cell r="C110">
            <v>2.9227421037891501</v>
          </cell>
          <cell r="D110">
            <v>1.56828891953401</v>
          </cell>
          <cell r="E110">
            <v>0.19618504630831701</v>
          </cell>
          <cell r="F110">
            <v>6.8718397654541468</v>
          </cell>
        </row>
        <row r="111">
          <cell r="B111">
            <v>2.3696532180371799</v>
          </cell>
          <cell r="C111">
            <v>3.0803378293504502</v>
          </cell>
          <cell r="D111">
            <v>1.59407122010227</v>
          </cell>
          <cell r="E111">
            <v>0.20383751520884499</v>
          </cell>
          <cell r="F111">
            <v>7.2478997826987461</v>
          </cell>
        </row>
        <row r="112">
          <cell r="B112">
            <v>2.2714330872098296</v>
          </cell>
          <cell r="C112">
            <v>2.95325148562122</v>
          </cell>
          <cell r="D112">
            <v>1.4104632937593802</v>
          </cell>
          <cell r="E112">
            <v>0.19901922531973001</v>
          </cell>
          <cell r="F112">
            <v>6.8341670919101603</v>
          </cell>
        </row>
        <row r="113">
          <cell r="B113">
            <v>2.4739405133356098</v>
          </cell>
          <cell r="C113">
            <v>3.1607702390351999</v>
          </cell>
          <cell r="D113">
            <v>1.5188752620776</v>
          </cell>
          <cell r="E113">
            <v>0.20934469035134901</v>
          </cell>
          <cell r="F113">
            <v>7.3629307047997585</v>
          </cell>
        </row>
        <row r="114">
          <cell r="B114">
            <v>2.6313868480823004</v>
          </cell>
          <cell r="C114">
            <v>3.3413173584313403</v>
          </cell>
          <cell r="D114">
            <v>1.5037614843753699</v>
          </cell>
          <cell r="E114">
            <v>0.21093219373174701</v>
          </cell>
          <cell r="F114">
            <v>7.6873978846207569</v>
          </cell>
        </row>
        <row r="115">
          <cell r="B115">
            <v>2.8339168715693797</v>
          </cell>
          <cell r="C115">
            <v>3.7041051312355298</v>
          </cell>
          <cell r="D115">
            <v>1.58968231681952</v>
          </cell>
          <cell r="E115">
            <v>0.22838958630307998</v>
          </cell>
          <cell r="F115">
            <v>8.3560939059275103</v>
          </cell>
        </row>
        <row r="116">
          <cell r="B116">
            <v>2.8462563759734101</v>
          </cell>
          <cell r="C116">
            <v>3.7797207928092598</v>
          </cell>
          <cell r="D116">
            <v>1.5403698446537002</v>
          </cell>
          <cell r="E116">
            <v>0.23076509812189702</v>
          </cell>
          <cell r="F116">
            <v>8.3971121115582665</v>
          </cell>
        </row>
        <row r="117">
          <cell r="B117">
            <v>3.0987735905307598</v>
          </cell>
          <cell r="C117">
            <v>3.84357821998098</v>
          </cell>
          <cell r="D117">
            <v>1.6003500495710699</v>
          </cell>
          <cell r="E117">
            <v>0.22916665174656298</v>
          </cell>
          <cell r="F117">
            <v>8.7718685118293731</v>
          </cell>
        </row>
        <row r="118">
          <cell r="B118">
            <v>3.1132149385935302</v>
          </cell>
          <cell r="C118">
            <v>3.6748058382191302</v>
          </cell>
          <cell r="D118">
            <v>1.5235325651823999</v>
          </cell>
          <cell r="E118">
            <v>0.23080908201533498</v>
          </cell>
          <cell r="F118">
            <v>8.5423624240103955</v>
          </cell>
        </row>
        <row r="119">
          <cell r="B119">
            <v>3.18941863630487</v>
          </cell>
          <cell r="C119">
            <v>3.6872046369219298</v>
          </cell>
          <cell r="D119">
            <v>1.4966192892946999</v>
          </cell>
          <cell r="E119">
            <v>0.22707400302098701</v>
          </cell>
          <cell r="F119">
            <v>8.6003165655424851</v>
          </cell>
        </row>
        <row r="120">
          <cell r="B120">
            <v>3.3468769151593998</v>
          </cell>
          <cell r="C120">
            <v>4.0510308264481401</v>
          </cell>
          <cell r="D120">
            <v>1.57670427289899</v>
          </cell>
          <cell r="E120">
            <v>0.24230171197024</v>
          </cell>
          <cell r="F120">
            <v>9.2169137264767702</v>
          </cell>
        </row>
        <row r="121">
          <cell r="B121">
            <v>3.3541740271815099</v>
          </cell>
          <cell r="C121">
            <v>4.0645430120507005</v>
          </cell>
          <cell r="D121">
            <v>1.5844360844268301</v>
          </cell>
          <cell r="E121">
            <v>0.25085277025237201</v>
          </cell>
          <cell r="F121">
            <v>9.2540058939114118</v>
          </cell>
        </row>
        <row r="122">
          <cell r="B122">
            <v>3.4703105502727198</v>
          </cell>
          <cell r="C122">
            <v>4.07649828569755</v>
          </cell>
          <cell r="D122">
            <v>1.6139045332222299</v>
          </cell>
          <cell r="E122">
            <v>0.23412649860888202</v>
          </cell>
          <cell r="F122">
            <v>9.394839867801382</v>
          </cell>
        </row>
        <row r="123">
          <cell r="B123">
            <v>3.7660155369799</v>
          </cell>
          <cell r="C123">
            <v>4.4104117110944792</v>
          </cell>
          <cell r="D123">
            <v>1.7045028130567301</v>
          </cell>
          <cell r="E123">
            <v>0.27719423428361301</v>
          </cell>
          <cell r="F123">
            <v>10.158124295414723</v>
          </cell>
        </row>
        <row r="124">
          <cell r="B124">
            <v>3.4607693883814403</v>
          </cell>
          <cell r="C124">
            <v>4.0478651236857397</v>
          </cell>
          <cell r="D124">
            <v>1.5725920322729701</v>
          </cell>
          <cell r="E124">
            <v>0.26116154698236799</v>
          </cell>
          <cell r="F124">
            <v>9.342388091322519</v>
          </cell>
        </row>
        <row r="125">
          <cell r="B125">
            <v>3.8516047589499998</v>
          </cell>
          <cell r="C125">
            <v>4.2961108750192007</v>
          </cell>
          <cell r="D125">
            <v>1.7046622301473899</v>
          </cell>
          <cell r="E125">
            <v>0.28240033847742402</v>
          </cell>
          <cell r="F125">
            <v>10.134778202594015</v>
          </cell>
        </row>
        <row r="126">
          <cell r="B126">
            <v>3.9431494368143802</v>
          </cell>
          <cell r="C126">
            <v>4.4300032996496199</v>
          </cell>
          <cell r="D126">
            <v>1.6918347565323701</v>
          </cell>
          <cell r="E126">
            <v>0.29344352223611303</v>
          </cell>
          <cell r="F126">
            <v>10.358431015232483</v>
          </cell>
        </row>
        <row r="127">
          <cell r="B127">
            <v>3.98698531953199</v>
          </cell>
          <cell r="C127">
            <v>4.37986717473908</v>
          </cell>
          <cell r="D127">
            <v>1.66072760632197</v>
          </cell>
          <cell r="E127">
            <v>0.29199660142068795</v>
          </cell>
          <cell r="F127">
            <v>10.319576702013729</v>
          </cell>
        </row>
        <row r="128">
          <cell r="B128">
            <v>4.1211631018385804</v>
          </cell>
          <cell r="C128">
            <v>4.4840106290320101</v>
          </cell>
          <cell r="D128">
            <v>1.75793847192557</v>
          </cell>
          <cell r="E128">
            <v>0.30096687482110102</v>
          </cell>
          <cell r="F128">
            <v>10.664079077617261</v>
          </cell>
        </row>
        <row r="129">
          <cell r="B129">
            <v>4.2523922895521702</v>
          </cell>
          <cell r="C129">
            <v>4.49034268399725</v>
          </cell>
          <cell r="D129">
            <v>1.8329467830252599</v>
          </cell>
          <cell r="E129">
            <v>0.313276259897667</v>
          </cell>
          <cell r="F129">
            <v>10.888958016472348</v>
          </cell>
        </row>
        <row r="130">
          <cell r="B130">
            <v>4.2223965368476204</v>
          </cell>
          <cell r="C130">
            <v>4.3420384284143294</v>
          </cell>
          <cell r="D130">
            <v>1.7260190229724499</v>
          </cell>
          <cell r="E130">
            <v>0.31127853733487704</v>
          </cell>
          <cell r="F130">
            <v>10.601732525569275</v>
          </cell>
        </row>
        <row r="131">
          <cell r="B131">
            <v>4.2355070341057903</v>
          </cell>
          <cell r="C131">
            <v>4.1004066464623197</v>
          </cell>
          <cell r="D131">
            <v>1.66897514571634</v>
          </cell>
          <cell r="E131">
            <v>0.297808198184142</v>
          </cell>
          <cell r="F131">
            <v>10.302697024468593</v>
          </cell>
        </row>
        <row r="132">
          <cell r="B132">
            <v>4.3820491747230506</v>
          </cell>
          <cell r="C132">
            <v>4.22149524346597</v>
          </cell>
          <cell r="D132">
            <v>1.7283139069440001</v>
          </cell>
          <cell r="E132">
            <v>0.31460553211425296</v>
          </cell>
          <cell r="F132">
            <v>10.646463857247275</v>
          </cell>
        </row>
        <row r="133">
          <cell r="B133">
            <v>4.1757408886272005</v>
          </cell>
          <cell r="C133">
            <v>4.0141687438151594</v>
          </cell>
          <cell r="D133">
            <v>1.6670746891575898</v>
          </cell>
          <cell r="E133">
            <v>0.31104636236985805</v>
          </cell>
          <cell r="F133">
            <v>10.168030683969807</v>
          </cell>
        </row>
        <row r="134">
          <cell r="B134">
            <v>4.2174076977761503</v>
          </cell>
          <cell r="C134">
            <v>4.0546035124489004</v>
          </cell>
          <cell r="D134">
            <v>1.7119364173109199</v>
          </cell>
          <cell r="E134">
            <v>0.32048902453759903</v>
          </cell>
          <cell r="F134">
            <v>10.304436652073569</v>
          </cell>
        </row>
        <row r="135">
          <cell r="B135">
            <v>4.3640781461766593</v>
          </cell>
          <cell r="C135">
            <v>4.0876268062622998</v>
          </cell>
          <cell r="D135">
            <v>1.7312276199554502</v>
          </cell>
          <cell r="E135">
            <v>0.31676443235248702</v>
          </cell>
          <cell r="F135">
            <v>10.499697004746897</v>
          </cell>
        </row>
        <row r="136">
          <cell r="B136">
            <v>3.8977702831726897</v>
          </cell>
          <cell r="C136">
            <v>3.60228803400154</v>
          </cell>
          <cell r="D136">
            <v>1.48448439186074</v>
          </cell>
          <cell r="E136">
            <v>0.29504919614295999</v>
          </cell>
          <cell r="F136">
            <v>9.279591905177929</v>
          </cell>
        </row>
        <row r="137">
          <cell r="B137">
            <v>4.1752187592128198</v>
          </cell>
          <cell r="C137">
            <v>3.7377529345529097</v>
          </cell>
          <cell r="D137">
            <v>1.5521792741317402</v>
          </cell>
          <cell r="E137">
            <v>0.303754122197466</v>
          </cell>
          <cell r="F137">
            <v>9.7689050900949361</v>
          </cell>
        </row>
        <row r="138">
          <cell r="B138">
            <v>4.2518778437465201</v>
          </cell>
          <cell r="C138">
            <v>3.8446665537815199</v>
          </cell>
          <cell r="D138">
            <v>1.5809805912999</v>
          </cell>
          <cell r="E138">
            <v>0.31775130399722396</v>
          </cell>
          <cell r="F138">
            <v>9.9952762928251637</v>
          </cell>
        </row>
        <row r="139">
          <cell r="B139">
            <v>4.3227651493370303</v>
          </cell>
          <cell r="C139">
            <v>3.7161581626585303</v>
          </cell>
          <cell r="D139">
            <v>1.4747110658623199</v>
          </cell>
          <cell r="E139">
            <v>0.30943131354194997</v>
          </cell>
          <cell r="F139">
            <v>9.8230656913998295</v>
          </cell>
        </row>
        <row r="140">
          <cell r="B140">
            <v>4.4214461758202299</v>
          </cell>
          <cell r="C140">
            <v>3.6869780922250701</v>
          </cell>
          <cell r="D140">
            <v>1.6486216574542201</v>
          </cell>
          <cell r="E140">
            <v>0.31177322478210001</v>
          </cell>
          <cell r="F140">
            <v>10.06881915028162</v>
          </cell>
        </row>
        <row r="141">
          <cell r="B141">
            <v>4.2127136614120104</v>
          </cell>
          <cell r="C141">
            <v>3.6090392331958498</v>
          </cell>
          <cell r="D141">
            <v>1.6455547881576</v>
          </cell>
          <cell r="E141">
            <v>0.30242593239821497</v>
          </cell>
          <cell r="F141">
            <v>9.7697336151636751</v>
          </cell>
        </row>
        <row r="142">
          <cell r="B142">
            <v>3.8911878480570596</v>
          </cell>
          <cell r="C142">
            <v>3.4352007672304801</v>
          </cell>
          <cell r="D142">
            <v>1.5470001178249</v>
          </cell>
          <cell r="E142">
            <v>0.29899261501882701</v>
          </cell>
          <cell r="F142">
            <v>9.1723813481312675</v>
          </cell>
        </row>
        <row r="143">
          <cell r="B143">
            <v>4.0205614242674397</v>
          </cell>
          <cell r="C143">
            <v>3.4288707667112699</v>
          </cell>
          <cell r="D143">
            <v>1.5849672932616601</v>
          </cell>
          <cell r="E143">
            <v>0.29833216655911399</v>
          </cell>
          <cell r="F143">
            <v>9.3327316507994844</v>
          </cell>
        </row>
        <row r="144">
          <cell r="B144">
            <v>3.9254387599445901</v>
          </cell>
          <cell r="C144">
            <v>3.3018466126697898</v>
          </cell>
          <cell r="D144">
            <v>1.55140905826916</v>
          </cell>
          <cell r="E144">
            <v>0.29400013907160399</v>
          </cell>
          <cell r="F144">
            <v>9.0726945699551447</v>
          </cell>
        </row>
        <row r="145">
          <cell r="B145">
            <v>3.5140970691983</v>
          </cell>
          <cell r="C145">
            <v>3.17794492131851</v>
          </cell>
          <cell r="D145">
            <v>1.5520609607064499</v>
          </cell>
          <cell r="E145">
            <v>0.28644495235263201</v>
          </cell>
          <cell r="F145">
            <v>8.5305479035758918</v>
          </cell>
        </row>
        <row r="146">
          <cell r="B146">
            <v>3.5446984771369801</v>
          </cell>
          <cell r="C146">
            <v>3.2179632967887901</v>
          </cell>
          <cell r="D146">
            <v>1.58938990038446</v>
          </cell>
          <cell r="E146">
            <v>0.28019005710433698</v>
          </cell>
          <cell r="F146">
            <v>8.6322417314145667</v>
          </cell>
        </row>
        <row r="147">
          <cell r="B147">
            <v>3.4729782657957</v>
          </cell>
          <cell r="C147">
            <v>3.1476275185479397</v>
          </cell>
          <cell r="D147">
            <v>1.55869476292562</v>
          </cell>
          <cell r="E147">
            <v>0.27439064910462801</v>
          </cell>
          <cell r="F147">
            <v>8.4536911963738888</v>
          </cell>
        </row>
        <row r="148">
          <cell r="B148">
            <v>2.9962588560524201</v>
          </cell>
          <cell r="C148">
            <v>2.78853417962002</v>
          </cell>
          <cell r="D148">
            <v>1.3657645165890802</v>
          </cell>
          <cell r="E148">
            <v>0.245382175362063</v>
          </cell>
          <cell r="F148">
            <v>7.395939727623583</v>
          </cell>
        </row>
        <row r="149">
          <cell r="B149">
            <v>3.2873054419643002</v>
          </cell>
          <cell r="C149">
            <v>2.9031387334651297</v>
          </cell>
          <cell r="D149">
            <v>1.41692477169606</v>
          </cell>
          <cell r="E149">
            <v>0.25898612878871596</v>
          </cell>
          <cell r="F149">
            <v>7.866355075914206</v>
          </cell>
        </row>
        <row r="150">
          <cell r="B150">
            <v>3.3024512250024198</v>
          </cell>
          <cell r="C150">
            <v>3.0719891433951996</v>
          </cell>
          <cell r="D150">
            <v>1.4485526329507799</v>
          </cell>
          <cell r="E150">
            <v>0.29981477023433201</v>
          </cell>
          <cell r="F150">
            <v>8.1228077715827318</v>
          </cell>
        </row>
        <row r="151">
          <cell r="B151">
            <v>3.3403961262716599</v>
          </cell>
          <cell r="C151">
            <v>3.02952013762205</v>
          </cell>
          <cell r="D151">
            <v>1.39582053430877</v>
          </cell>
          <cell r="E151">
            <v>0.29755554569544701</v>
          </cell>
          <cell r="F151">
            <v>8.0632923438979276</v>
          </cell>
        </row>
        <row r="152">
          <cell r="B152">
            <v>3.3103512701706901</v>
          </cell>
          <cell r="C152">
            <v>3.17693364756588</v>
          </cell>
          <cell r="D152">
            <v>1.46902578508905</v>
          </cell>
          <cell r="E152">
            <v>0.31476334349755003</v>
          </cell>
          <cell r="F152">
            <v>8.2710740463231698</v>
          </cell>
        </row>
        <row r="153">
          <cell r="B153">
            <v>3.1039986045041501</v>
          </cell>
          <cell r="C153">
            <v>3.0964225077834699</v>
          </cell>
          <cell r="D153">
            <v>1.4008527835018001</v>
          </cell>
          <cell r="E153">
            <v>0.313803422967318</v>
          </cell>
          <cell r="F153">
            <v>7.9150773187567376</v>
          </cell>
        </row>
        <row r="154">
          <cell r="B154">
            <v>3.00844785117879</v>
          </cell>
          <cell r="C154">
            <v>3.0676178633953599</v>
          </cell>
          <cell r="D154">
            <v>1.4315350223607499</v>
          </cell>
          <cell r="E154">
            <v>0.317059946411893</v>
          </cell>
          <cell r="F154">
            <v>7.8246606833467931</v>
          </cell>
        </row>
        <row r="155">
          <cell r="B155">
            <v>3.2450809258493698</v>
          </cell>
          <cell r="C155">
            <v>3.1796022036123301</v>
          </cell>
          <cell r="D155">
            <v>1.4177067004351298</v>
          </cell>
          <cell r="E155">
            <v>0.33215856805119698</v>
          </cell>
          <cell r="F155">
            <v>8.1745483979480262</v>
          </cell>
        </row>
        <row r="156">
          <cell r="B156">
            <v>3.1890615723216902</v>
          </cell>
          <cell r="C156">
            <v>3.2075605287050499</v>
          </cell>
          <cell r="D156">
            <v>1.3889214635139502</v>
          </cell>
          <cell r="E156">
            <v>0.32939497272672402</v>
          </cell>
          <cell r="F156">
            <v>8.114938537267415</v>
          </cell>
        </row>
        <row r="157">
          <cell r="B157">
            <v>3.2596666295666599</v>
          </cell>
          <cell r="C157">
            <v>3.2730594162604301</v>
          </cell>
          <cell r="D157">
            <v>1.4045426724697199</v>
          </cell>
          <cell r="E157">
            <v>0.32046840726234899</v>
          </cell>
          <cell r="F157">
            <v>8.2577371255591583</v>
          </cell>
        </row>
        <row r="158">
          <cell r="B158">
            <v>3.3881573248895798</v>
          </cell>
          <cell r="C158">
            <v>3.4357621523086901</v>
          </cell>
          <cell r="D158">
            <v>1.45933480608724</v>
          </cell>
          <cell r="E158">
            <v>0.33079172983310401</v>
          </cell>
          <cell r="F158">
            <v>8.6140460131186138</v>
          </cell>
        </row>
        <row r="159">
          <cell r="B159">
            <v>3.22058273359736</v>
          </cell>
          <cell r="C159">
            <v>3.4921957990372499</v>
          </cell>
          <cell r="D159">
            <v>1.4571055175710399</v>
          </cell>
          <cell r="E159">
            <v>0.33236589686072998</v>
          </cell>
          <cell r="F159">
            <v>8.5022499470663817</v>
          </cell>
        </row>
        <row r="160">
          <cell r="B160">
            <v>2.77817523609224</v>
          </cell>
          <cell r="C160">
            <v>3.21321873172004</v>
          </cell>
          <cell r="D160">
            <v>1.3461053607247802</v>
          </cell>
          <cell r="E160">
            <v>0.30140003314881902</v>
          </cell>
          <cell r="F160">
            <v>7.6388993616858798</v>
          </cell>
        </row>
        <row r="161">
          <cell r="B161">
            <v>3.0869109463573197</v>
          </cell>
          <cell r="C161">
            <v>3.45403763745689</v>
          </cell>
          <cell r="D161">
            <v>1.4293973273396698</v>
          </cell>
          <cell r="E161">
            <v>0.31298632449386105</v>
          </cell>
          <cell r="F161">
            <v>8.283332235647741</v>
          </cell>
        </row>
        <row r="162">
          <cell r="B162">
            <v>3.1849027352095498</v>
          </cell>
          <cell r="C162">
            <v>3.6536032403679197</v>
          </cell>
          <cell r="D162">
            <v>1.4167398803684799</v>
          </cell>
          <cell r="E162">
            <v>0.33874272777211101</v>
          </cell>
          <cell r="F162">
            <v>8.5939885837180601</v>
          </cell>
        </row>
        <row r="163">
          <cell r="B163">
            <v>3.1652564081915</v>
          </cell>
          <cell r="C163">
            <v>3.7239968603688798</v>
          </cell>
          <cell r="D163">
            <v>1.45762812461163</v>
          </cell>
          <cell r="E163">
            <v>0.35618739577240699</v>
          </cell>
          <cell r="F163">
            <v>8.7030687889444156</v>
          </cell>
        </row>
        <row r="164">
          <cell r="B164">
            <v>3.4640040404170098</v>
          </cell>
          <cell r="C164">
            <v>3.9488350540159796</v>
          </cell>
          <cell r="D164">
            <v>1.5326402569464801</v>
          </cell>
          <cell r="E164">
            <v>0.35542846713370696</v>
          </cell>
          <cell r="F164">
            <v>9.3009078185131777</v>
          </cell>
        </row>
        <row r="165">
          <cell r="B165">
            <v>3.3623201970748902</v>
          </cell>
          <cell r="C165">
            <v>3.9946555435454796</v>
          </cell>
          <cell r="D165">
            <v>1.50887778028939</v>
          </cell>
          <cell r="E165">
            <v>0.36381146738613201</v>
          </cell>
          <cell r="F165">
            <v>9.229664988295891</v>
          </cell>
        </row>
        <row r="166">
          <cell r="B166">
            <v>3.3001408729149899</v>
          </cell>
          <cell r="C166">
            <v>4.0311758596757699</v>
          </cell>
          <cell r="D166">
            <v>1.49473076327724</v>
          </cell>
          <cell r="E166">
            <v>0.37534900156780798</v>
          </cell>
          <cell r="F166">
            <v>9.2013964974358071</v>
          </cell>
        </row>
        <row r="167">
          <cell r="B167">
            <v>3.64862407923688</v>
          </cell>
          <cell r="C167">
            <v>4.03906879339368</v>
          </cell>
          <cell r="D167">
            <v>1.4530033345208999</v>
          </cell>
          <cell r="E167">
            <v>0.39114322665271001</v>
          </cell>
          <cell r="F167">
            <v>9.531839433804171</v>
          </cell>
        </row>
        <row r="168">
          <cell r="B168">
            <v>3.4815166878336301</v>
          </cell>
          <cell r="C168">
            <v>4.0906415898212298</v>
          </cell>
          <cell r="D168">
            <v>1.5094269389730899</v>
          </cell>
          <cell r="E168">
            <v>0.40633991970176797</v>
          </cell>
          <cell r="F168">
            <v>9.4879251363297179</v>
          </cell>
        </row>
        <row r="169">
          <cell r="B169">
            <v>3.45707390739926</v>
          </cell>
          <cell r="C169">
            <v>4.1936221499525903</v>
          </cell>
          <cell r="D169">
            <v>1.5500551372320499</v>
          </cell>
          <cell r="E169">
            <v>0.427640399133218</v>
          </cell>
          <cell r="F169">
            <v>9.6283915937171169</v>
          </cell>
        </row>
        <row r="170">
          <cell r="B170">
            <v>3.4499392751347697</v>
          </cell>
          <cell r="C170">
            <v>4.2400126943359</v>
          </cell>
          <cell r="D170">
            <v>1.50420581764828</v>
          </cell>
          <cell r="E170">
            <v>0.43636291203196298</v>
          </cell>
          <cell r="F170">
            <v>9.6305206991509138</v>
          </cell>
        </row>
        <row r="171">
          <cell r="B171">
            <v>3.63308311900682</v>
          </cell>
          <cell r="C171">
            <v>4.3579408412299205</v>
          </cell>
          <cell r="D171">
            <v>1.63846843564268</v>
          </cell>
          <cell r="E171">
            <v>0.462353956069116</v>
          </cell>
          <cell r="F171">
            <v>10.091846351948536</v>
          </cell>
        </row>
        <row r="172">
          <cell r="B172">
            <v>3.4779108473779301</v>
          </cell>
          <cell r="C172">
            <v>4.1890704034493496</v>
          </cell>
          <cell r="D172">
            <v>1.5517117502925799</v>
          </cell>
          <cell r="E172">
            <v>0.45689794885937601</v>
          </cell>
          <cell r="F172">
            <v>9.6755909499792363</v>
          </cell>
        </row>
        <row r="173">
          <cell r="B173">
            <v>3.81117170163445</v>
          </cell>
          <cell r="C173">
            <v>4.3378986017299006</v>
          </cell>
          <cell r="D173">
            <v>1.61258950371723</v>
          </cell>
          <cell r="E173">
            <v>0.47986150098970598</v>
          </cell>
          <cell r="F173">
            <v>10.241521308071286</v>
          </cell>
        </row>
        <row r="174">
          <cell r="B174">
            <v>3.7750744188144103</v>
          </cell>
          <cell r="C174">
            <v>4.52893963339623</v>
          </cell>
          <cell r="D174">
            <v>1.6178644722420101</v>
          </cell>
          <cell r="E174">
            <v>0.50627220214505897</v>
          </cell>
          <cell r="F174">
            <v>10.428150726597709</v>
          </cell>
        </row>
        <row r="175">
          <cell r="B175">
            <v>4.0440337343013502</v>
          </cell>
          <cell r="C175">
            <v>4.8131802012859897</v>
          </cell>
          <cell r="D175">
            <v>1.7705568696638001</v>
          </cell>
          <cell r="E175">
            <v>0.54841552321778797</v>
          </cell>
          <cell r="F175">
            <v>11.176186328468926</v>
          </cell>
        </row>
        <row r="176">
          <cell r="B176">
            <v>4.2394747793305898</v>
          </cell>
          <cell r="C176">
            <v>4.7441470836137105</v>
          </cell>
          <cell r="D176">
            <v>1.72829242528174</v>
          </cell>
          <cell r="E176">
            <v>0.5469741506209379</v>
          </cell>
          <cell r="F176">
            <v>11.258888438846979</v>
          </cell>
        </row>
        <row r="177">
          <cell r="B177">
            <v>3.92206663005617</v>
          </cell>
          <cell r="C177">
            <v>4.67914913450422</v>
          </cell>
          <cell r="D177">
            <v>1.7504711268464899</v>
          </cell>
          <cell r="E177">
            <v>0.55050418511360499</v>
          </cell>
          <cell r="F177">
            <v>10.902191076520484</v>
          </cell>
        </row>
        <row r="178">
          <cell r="B178">
            <v>3.8685748245696501</v>
          </cell>
          <cell r="C178">
            <v>4.64997629541159</v>
          </cell>
          <cell r="D178">
            <v>1.7433095508427401</v>
          </cell>
          <cell r="E178">
            <v>0.56817713292341399</v>
          </cell>
          <cell r="F178">
            <v>10.830037803747395</v>
          </cell>
        </row>
        <row r="179">
          <cell r="B179">
            <v>3.9366295880427797</v>
          </cell>
          <cell r="C179">
            <v>4.4165285682666902</v>
          </cell>
          <cell r="D179">
            <v>1.6427940341030098</v>
          </cell>
          <cell r="E179">
            <v>0.58270621902680508</v>
          </cell>
          <cell r="F179">
            <v>10.578658409439285</v>
          </cell>
        </row>
        <row r="180">
          <cell r="B180">
            <v>4.17861450107611</v>
          </cell>
          <cell r="C180">
            <v>4.4732579084580602</v>
          </cell>
          <cell r="D180">
            <v>1.7559344460943</v>
          </cell>
          <cell r="E180">
            <v>0.60652261096216198</v>
          </cell>
          <cell r="F180">
            <v>11.014329466590635</v>
          </cell>
        </row>
        <row r="181">
          <cell r="B181">
            <v>4.2508957878777895</v>
          </cell>
          <cell r="C181">
            <v>4.4914484420548098</v>
          </cell>
          <cell r="D181">
            <v>1.7504718469921101</v>
          </cell>
          <cell r="E181">
            <v>0.618202466265523</v>
          </cell>
          <cell r="F181">
            <v>11.11101854319023</v>
          </cell>
        </row>
        <row r="182">
          <cell r="B182">
            <v>4.2193994713426299</v>
          </cell>
          <cell r="C182">
            <v>4.4892591229375203</v>
          </cell>
          <cell r="D182">
            <v>1.7294389096871099</v>
          </cell>
          <cell r="E182">
            <v>0.609181461257849</v>
          </cell>
          <cell r="F182">
            <v>11.047278965225109</v>
          </cell>
        </row>
        <row r="183">
          <cell r="B183">
            <v>4.4349417720670097</v>
          </cell>
          <cell r="C183">
            <v>4.62181765968728</v>
          </cell>
          <cell r="D183">
            <v>1.81611945910148</v>
          </cell>
          <cell r="E183">
            <v>0.62774390713555206</v>
          </cell>
          <cell r="F183">
            <v>11.500622797991321</v>
          </cell>
        </row>
        <row r="184">
          <cell r="B184">
            <v>4.1203184520252902</v>
          </cell>
          <cell r="C184">
            <v>4.2368345713218503</v>
          </cell>
          <cell r="D184">
            <v>1.6120150830790301</v>
          </cell>
          <cell r="E184">
            <v>0.641593993555717</v>
          </cell>
          <cell r="F184">
            <v>10.610762099981887</v>
          </cell>
        </row>
        <row r="185">
          <cell r="B185">
            <v>4.4220377599463996</v>
          </cell>
          <cell r="C185">
            <v>4.34535233559982</v>
          </cell>
          <cell r="D185">
            <v>1.7336046736670401</v>
          </cell>
          <cell r="E185">
            <v>0.68337072859468395</v>
          </cell>
          <cell r="F185">
            <v>11.184365497807942</v>
          </cell>
        </row>
        <row r="186">
          <cell r="B186">
            <v>4.5255961360366603</v>
          </cell>
          <cell r="C186">
            <v>4.4925618089249602</v>
          </cell>
          <cell r="D186">
            <v>1.70122759160762</v>
          </cell>
          <cell r="E186">
            <v>0.70011077230645891</v>
          </cell>
          <cell r="F186">
            <v>11.419496308875701</v>
          </cell>
        </row>
        <row r="187">
          <cell r="B187">
            <v>4.7221666769219901</v>
          </cell>
          <cell r="C187">
            <v>4.6048722232243904</v>
          </cell>
          <cell r="D187">
            <v>1.7501816258610599</v>
          </cell>
          <cell r="E187">
            <v>0.7104390551178319</v>
          </cell>
          <cell r="F187">
            <v>11.787659581125272</v>
          </cell>
        </row>
        <row r="188">
          <cell r="B188">
            <v>4.9380879160480298</v>
          </cell>
          <cell r="C188">
            <v>4.6517663682070802</v>
          </cell>
          <cell r="D188">
            <v>1.8022147338244199</v>
          </cell>
          <cell r="E188">
            <v>0.71853841016915099</v>
          </cell>
          <cell r="F188">
            <v>12.110607428248681</v>
          </cell>
        </row>
        <row r="189">
          <cell r="B189">
            <v>4.86630797947769</v>
          </cell>
          <cell r="C189">
            <v>4.70419373548431</v>
          </cell>
          <cell r="D189">
            <v>1.8664793056590601</v>
          </cell>
          <cell r="E189">
            <v>0.724115627434057</v>
          </cell>
          <cell r="F189">
            <v>12.161096648055118</v>
          </cell>
        </row>
        <row r="190">
          <cell r="B190">
            <v>4.9418448754900002</v>
          </cell>
          <cell r="C190">
            <v>4.7627117026196206</v>
          </cell>
          <cell r="D190">
            <v>1.94614123129298</v>
          </cell>
          <cell r="E190">
            <v>0.75518017563357798</v>
          </cell>
          <cell r="F190">
            <v>12.405877985036179</v>
          </cell>
        </row>
        <row r="191">
          <cell r="B191">
            <v>4.9578951931011002</v>
          </cell>
          <cell r="C191">
            <v>4.5033791704066699</v>
          </cell>
          <cell r="D191">
            <v>1.80459073876745</v>
          </cell>
          <cell r="E191">
            <v>0.74849191101698398</v>
          </cell>
          <cell r="F191">
            <v>12.014357013292203</v>
          </cell>
        </row>
        <row r="192">
          <cell r="B192">
            <v>5.2236013286352794</v>
          </cell>
          <cell r="C192">
            <v>4.6937793719297893</v>
          </cell>
          <cell r="D192">
            <v>1.9793718842299499</v>
          </cell>
          <cell r="E192">
            <v>0.763351975617794</v>
          </cell>
          <cell r="F192">
            <v>12.660104560412814</v>
          </cell>
        </row>
        <row r="193">
          <cell r="B193">
            <v>5.2140185798788101</v>
          </cell>
          <cell r="C193">
            <v>4.6849909699275996</v>
          </cell>
          <cell r="D193">
            <v>1.9607615809450301</v>
          </cell>
          <cell r="E193">
            <v>0.76688294321814698</v>
          </cell>
          <cell r="F193">
            <v>12.626654073969586</v>
          </cell>
        </row>
        <row r="194">
          <cell r="B194">
            <v>5.1638587983907005</v>
          </cell>
          <cell r="C194">
            <v>4.6690056540960301</v>
          </cell>
          <cell r="D194">
            <v>2.0067718674010999</v>
          </cell>
          <cell r="E194">
            <v>0.78649870695380797</v>
          </cell>
          <cell r="F194">
            <v>12.626135026841638</v>
          </cell>
        </row>
        <row r="195">
          <cell r="B195">
            <v>5.2408910966901701</v>
          </cell>
          <cell r="C195">
            <v>4.8901150666512496</v>
          </cell>
          <cell r="D195">
            <v>2.1082235933412399</v>
          </cell>
          <cell r="E195">
            <v>0.81040603289354596</v>
          </cell>
          <cell r="F195">
            <v>13.049635789576206</v>
          </cell>
        </row>
        <row r="196">
          <cell r="B196">
            <v>5.0942456545214698</v>
          </cell>
          <cell r="C196">
            <v>4.5654131723267497</v>
          </cell>
          <cell r="D196">
            <v>1.87862381736032</v>
          </cell>
          <cell r="E196">
            <v>0.79493799088633399</v>
          </cell>
          <cell r="F196">
            <v>12.333220635094873</v>
          </cell>
        </row>
        <row r="197">
          <cell r="B197">
            <v>5.2345375351013699</v>
          </cell>
          <cell r="C197">
            <v>4.7447205596025004</v>
          </cell>
          <cell r="D197">
            <v>2.4552616069074102</v>
          </cell>
          <cell r="E197">
            <v>0.80627821729670301</v>
          </cell>
          <cell r="F197">
            <v>13.240797918907981</v>
          </cell>
        </row>
        <row r="198">
          <cell r="B198">
            <v>5.2913610618449898</v>
          </cell>
          <cell r="C198">
            <v>4.8597681566309499</v>
          </cell>
          <cell r="D198">
            <v>2.39291255997788</v>
          </cell>
          <cell r="E198">
            <v>0.76231650481054103</v>
          </cell>
          <cell r="F198">
            <v>13.306358283264361</v>
          </cell>
        </row>
        <row r="199">
          <cell r="B199">
            <v>5.31953636714585</v>
          </cell>
          <cell r="C199">
            <v>4.8794081615587501</v>
          </cell>
          <cell r="D199">
            <v>2.2132752827336</v>
          </cell>
          <cell r="E199">
            <v>0.77631443512958898</v>
          </cell>
          <cell r="F199">
            <v>13.188534246567789</v>
          </cell>
        </row>
        <row r="200">
          <cell r="B200">
            <v>5.4029394088124301</v>
          </cell>
          <cell r="C200">
            <v>5.0878324300000299</v>
          </cell>
          <cell r="D200">
            <v>2.4194822069170199</v>
          </cell>
          <cell r="E200">
            <v>0.74955847170479795</v>
          </cell>
          <cell r="F200">
            <v>13.659812517434279</v>
          </cell>
        </row>
        <row r="201">
          <cell r="B201">
            <v>5.4123413274507302</v>
          </cell>
          <cell r="C201">
            <v>5.1985368508088703</v>
          </cell>
          <cell r="D201">
            <v>2.5096782852714399</v>
          </cell>
          <cell r="E201">
            <v>0.72146382900633399</v>
          </cell>
          <cell r="F201">
            <v>13.842020292537374</v>
          </cell>
        </row>
        <row r="202">
          <cell r="B202">
            <v>5.5071958571134703</v>
          </cell>
          <cell r="C202">
            <v>5.2596961182272901</v>
          </cell>
          <cell r="D202">
            <v>2.5481472674923502</v>
          </cell>
          <cell r="E202">
            <v>0.74454107078138698</v>
          </cell>
          <cell r="F202">
            <v>14.059580313614498</v>
          </cell>
        </row>
        <row r="203">
          <cell r="B203">
            <v>5.5816372138804899</v>
          </cell>
          <cell r="C203">
            <v>5.0383550687748402</v>
          </cell>
          <cell r="D203">
            <v>2.4368890331481099</v>
          </cell>
          <cell r="E203">
            <v>0.74827506548381906</v>
          </cell>
          <cell r="F203">
            <v>13.80515638128726</v>
          </cell>
        </row>
        <row r="204">
          <cell r="B204">
            <v>5.7899041003528993</v>
          </cell>
          <cell r="C204">
            <v>5.1002701514507107</v>
          </cell>
          <cell r="D204">
            <v>2.54222197959148</v>
          </cell>
          <cell r="E204">
            <v>0.744850936073712</v>
          </cell>
          <cell r="F204">
            <v>14.177247167468803</v>
          </cell>
        </row>
        <row r="205">
          <cell r="B205">
            <v>5.7967492224992796</v>
          </cell>
          <cell r="C205">
            <v>5.0180312912296303</v>
          </cell>
          <cell r="D205">
            <v>2.4819814752328</v>
          </cell>
          <cell r="E205">
            <v>0.74480181580250004</v>
          </cell>
          <cell r="F205">
            <v>14.041563804764209</v>
          </cell>
        </row>
        <row r="206">
          <cell r="B206">
            <v>5.6145220692957798</v>
          </cell>
          <cell r="C206">
            <v>5.0532653373774599</v>
          </cell>
          <cell r="D206">
            <v>2.5269843070768099</v>
          </cell>
          <cell r="E206">
            <v>0.75316724801562707</v>
          </cell>
          <cell r="F206">
            <v>13.947938961765677</v>
          </cell>
        </row>
        <row r="207">
          <cell r="B207">
            <v>5.8386494271603002</v>
          </cell>
          <cell r="C207">
            <v>5.2185010128014495</v>
          </cell>
          <cell r="D207">
            <v>2.6491310784853099</v>
          </cell>
          <cell r="E207">
            <v>0.77501248818610602</v>
          </cell>
          <cell r="F207">
            <v>14.481294006633163</v>
          </cell>
        </row>
        <row r="208">
          <cell r="B208">
            <v>5.3558220303597599</v>
          </cell>
          <cell r="C208">
            <v>4.9494470751061197</v>
          </cell>
          <cell r="D208">
            <v>2.4135910471542301</v>
          </cell>
          <cell r="E208">
            <v>0.75691169440321104</v>
          </cell>
          <cell r="F208">
            <v>13.475771847023321</v>
          </cell>
        </row>
        <row r="209">
          <cell r="B209">
            <v>5.7137095055725204</v>
          </cell>
          <cell r="C209">
            <v>5.0943532795258903</v>
          </cell>
          <cell r="D209">
            <v>2.5883094932531701</v>
          </cell>
          <cell r="E209">
            <v>0.78018290833622206</v>
          </cell>
          <cell r="F209">
            <v>14.176555186687803</v>
          </cell>
        </row>
        <row r="210">
          <cell r="B210">
            <v>5.9466910598100799</v>
          </cell>
          <cell r="C210">
            <v>5.2498074745714103</v>
          </cell>
          <cell r="D210">
            <v>2.5692644155929498</v>
          </cell>
          <cell r="E210">
            <v>0.77926280852087104</v>
          </cell>
          <cell r="F210">
            <v>14.545025758495312</v>
          </cell>
        </row>
        <row r="211">
          <cell r="B211">
            <v>6.0078262224146792</v>
          </cell>
          <cell r="C211">
            <v>5.3823942599841992</v>
          </cell>
          <cell r="D211">
            <v>2.6615189940487198</v>
          </cell>
          <cell r="E211">
            <v>0.79418415667001496</v>
          </cell>
          <cell r="F211">
            <v>14.845923633117613</v>
          </cell>
        </row>
        <row r="212">
          <cell r="B212">
            <v>6.1188840047397006</v>
          </cell>
          <cell r="C212">
            <v>5.4622714752398798</v>
          </cell>
          <cell r="D212">
            <v>2.7726586612196003</v>
          </cell>
          <cell r="E212">
            <v>0.79603748979043809</v>
          </cell>
          <cell r="F212">
            <v>15.149851630989618</v>
          </cell>
        </row>
        <row r="213">
          <cell r="B213">
            <v>6.0524270132488303</v>
          </cell>
          <cell r="C213">
            <v>5.6133369316696502</v>
          </cell>
          <cell r="D213">
            <v>2.8291747074427902</v>
          </cell>
          <cell r="E213">
            <v>0.84887311481288008</v>
          </cell>
          <cell r="F213">
            <v>15.343811767174152</v>
          </cell>
        </row>
        <row r="214">
          <cell r="B214">
            <v>5.5347784886106597</v>
          </cell>
          <cell r="C214">
            <v>5.52046843220415</v>
          </cell>
          <cell r="D214">
            <v>2.8200937551374503</v>
          </cell>
          <cell r="E214">
            <v>0.816289647128428</v>
          </cell>
          <cell r="F214">
            <v>14.691630323080688</v>
          </cell>
        </row>
        <row r="215">
          <cell r="B215">
            <v>6.1922837156545203</v>
          </cell>
          <cell r="C215">
            <v>5.7284514189281905</v>
          </cell>
          <cell r="D215">
            <v>2.9447408609966104</v>
          </cell>
          <cell r="E215">
            <v>0.82814082671001799</v>
          </cell>
          <cell r="F215">
            <v>15.693616822289338</v>
          </cell>
        </row>
        <row r="216">
          <cell r="B216">
            <v>6.1938338226221905</v>
          </cell>
          <cell r="C216">
            <v>5.7080534697804</v>
          </cell>
          <cell r="D216">
            <v>2.9112777855354302</v>
          </cell>
          <cell r="E216">
            <v>0.83123236260395805</v>
          </cell>
          <cell r="F216">
            <v>15.644397440541979</v>
          </cell>
        </row>
        <row r="217">
          <cell r="B217">
            <v>6.1363741351069701</v>
          </cell>
          <cell r="C217">
            <v>5.7548705642826992</v>
          </cell>
          <cell r="D217">
            <v>2.9768808417955199</v>
          </cell>
          <cell r="E217">
            <v>0.817386826442418</v>
          </cell>
          <cell r="F217">
            <v>15.685512367627608</v>
          </cell>
        </row>
        <row r="218">
          <cell r="B218">
            <v>6.5404106131189899</v>
          </cell>
          <cell r="C218">
            <v>6.0031467095764901</v>
          </cell>
          <cell r="D218">
            <v>3.08279631093537</v>
          </cell>
          <cell r="E218">
            <v>0.84496066363948297</v>
          </cell>
          <cell r="F218">
            <v>16.471314297270332</v>
          </cell>
        </row>
        <row r="219">
          <cell r="B219">
            <v>6.5228300125332694</v>
          </cell>
          <cell r="C219">
            <v>6.2562323005660696</v>
          </cell>
          <cell r="D219">
            <v>3.1698462547073003</v>
          </cell>
          <cell r="E219">
            <v>0.87129042899551201</v>
          </cell>
          <cell r="F219">
            <v>16.820198996802151</v>
          </cell>
        </row>
        <row r="220">
          <cell r="B220">
            <v>5.6843326703113899</v>
          </cell>
          <cell r="C220">
            <v>5.96291513224525</v>
          </cell>
          <cell r="D220">
            <v>2.8980883794825401</v>
          </cell>
          <cell r="E220">
            <v>0.85537177305006895</v>
          </cell>
          <cell r="F220">
            <v>15.400707955089247</v>
          </cell>
        </row>
        <row r="221">
          <cell r="B221">
            <v>7.5850692440620202</v>
          </cell>
          <cell r="C221">
            <v>6.1586376877752897</v>
          </cell>
          <cell r="D221">
            <v>3.2128859997461499</v>
          </cell>
          <cell r="E221">
            <v>0.88557694007320298</v>
          </cell>
          <cell r="F221">
            <v>17.842169871656662</v>
          </cell>
        </row>
        <row r="222">
          <cell r="B222">
            <v>7.5053183303343696</v>
          </cell>
          <cell r="C222">
            <v>6.3933491733844097</v>
          </cell>
          <cell r="D222">
            <v>3.16829208664885</v>
          </cell>
          <cell r="E222">
            <v>0.89641732833328902</v>
          </cell>
          <cell r="F222">
            <v>17.96337691870092</v>
          </cell>
        </row>
        <row r="223">
          <cell r="B223">
            <v>8.0354935066244693</v>
          </cell>
          <cell r="C223">
            <v>6.5110982604910701</v>
          </cell>
          <cell r="D223">
            <v>3.2929214726320599</v>
          </cell>
          <cell r="E223">
            <v>0.88759189850820508</v>
          </cell>
          <cell r="F223">
            <v>18.727105138255805</v>
          </cell>
        </row>
        <row r="224">
          <cell r="B224">
            <v>8.5482551627816807</v>
          </cell>
          <cell r="C224">
            <v>6.8794881174199203</v>
          </cell>
          <cell r="D224">
            <v>3.5692976047534399</v>
          </cell>
          <cell r="E224">
            <v>0.92147583263113997</v>
          </cell>
          <cell r="F224">
            <v>19.918516717586179</v>
          </cell>
        </row>
        <row r="225">
          <cell r="B225">
            <v>8.6686348122957302</v>
          </cell>
          <cell r="C225">
            <v>7.0650622111329895</v>
          </cell>
          <cell r="D225">
            <v>3.5868259162242997</v>
          </cell>
          <cell r="E225">
            <v>0.92522845951923705</v>
          </cell>
          <cell r="F225">
            <v>20.245751399172256</v>
          </cell>
        </row>
        <row r="226">
          <cell r="B226">
            <v>8.7130747893002489</v>
          </cell>
          <cell r="C226">
            <v>7.1435020567007399</v>
          </cell>
          <cell r="D226">
            <v>3.71330120294768</v>
          </cell>
          <cell r="E226">
            <v>0.92100826145460402</v>
          </cell>
          <cell r="F226">
            <v>20.490886310403273</v>
          </cell>
        </row>
        <row r="227">
          <cell r="B227">
            <v>9.0949816224384801</v>
          </cell>
          <cell r="C227">
            <v>7.2800127179196794</v>
          </cell>
          <cell r="D227">
            <v>3.8386752226200098</v>
          </cell>
          <cell r="E227">
            <v>0.92704964576426896</v>
          </cell>
          <cell r="F227">
            <v>21.140719208742439</v>
          </cell>
        </row>
        <row r="228">
          <cell r="B228">
            <v>9.2386092104997601</v>
          </cell>
          <cell r="C228">
            <v>7.22131366907848</v>
          </cell>
          <cell r="D228">
            <v>3.8842881485415202</v>
          </cell>
          <cell r="E228">
            <v>0.93321072745637601</v>
          </cell>
          <cell r="F228">
            <v>21.277421755576135</v>
          </cell>
        </row>
        <row r="229">
          <cell r="B229">
            <v>9.3544901455448404</v>
          </cell>
          <cell r="C229">
            <v>7.3591727799036395</v>
          </cell>
          <cell r="D229">
            <v>3.9392914535852799</v>
          </cell>
          <cell r="E229">
            <v>0.93163972109068893</v>
          </cell>
          <cell r="F229">
            <v>21.584594100124452</v>
          </cell>
        </row>
        <row r="230">
          <cell r="B230">
            <v>9.2761720376889407</v>
          </cell>
          <cell r="C230">
            <v>7.4771427404896098</v>
          </cell>
          <cell r="D230">
            <v>3.9473460355402299</v>
          </cell>
          <cell r="E230">
            <v>0.91544727927606795</v>
          </cell>
          <cell r="F230">
            <v>21.616108092994846</v>
          </cell>
        </row>
        <row r="231">
          <cell r="B231">
            <v>9.3721725874613</v>
          </cell>
          <cell r="C231">
            <v>7.6749849081175299</v>
          </cell>
          <cell r="D231">
            <v>4.1700625476043101</v>
          </cell>
          <cell r="E231">
            <v>0.93470849833696401</v>
          </cell>
          <cell r="F231">
            <v>22.151928541520103</v>
          </cell>
        </row>
        <row r="232">
          <cell r="B232">
            <v>8.9136032945098904</v>
          </cell>
          <cell r="C232">
            <v>7.2575225150280103</v>
          </cell>
          <cell r="D232">
            <v>3.8395254291920899</v>
          </cell>
          <cell r="E232">
            <v>0.94095622482770391</v>
          </cell>
          <cell r="F232">
            <v>20.951607463557696</v>
          </cell>
        </row>
        <row r="233">
          <cell r="B233">
            <v>9.6011255747752209</v>
          </cell>
          <cell r="C233">
            <v>7.4465879526607797</v>
          </cell>
          <cell r="D233">
            <v>3.9829137668808898</v>
          </cell>
          <cell r="E233">
            <v>0.97061476344826991</v>
          </cell>
          <cell r="F233">
            <v>22.001242057765165</v>
          </cell>
        </row>
      </sheetData>
      <sheetData sheetId="8">
        <row r="3">
          <cell r="G3" t="str">
            <v>Comercial</v>
          </cell>
        </row>
      </sheetData>
      <sheetData sheetId="9">
        <row r="2">
          <cell r="G2" t="str">
            <v>ROA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79"/>
  <sheetViews>
    <sheetView view="pageBreakPreview" zoomScale="106" zoomScaleNormal="100" zoomScaleSheetLayoutView="106" workbookViewId="0">
      <pane ySplit="2" topLeftCell="A4" activePane="bottomLeft" state="frozen"/>
      <selection activeCell="E27" sqref="E27"/>
      <selection pane="bottomLeft" activeCell="A2" sqref="A2"/>
    </sheetView>
  </sheetViews>
  <sheetFormatPr baseColWidth="10" defaultRowHeight="16.5" x14ac:dyDescent="0.3"/>
  <cols>
    <col min="1" max="1" width="16.85546875" style="5" bestFit="1" customWidth="1"/>
    <col min="2" max="2" width="15.85546875" style="4" bestFit="1" customWidth="1"/>
    <col min="3" max="3" width="25.140625" style="3" customWidth="1"/>
    <col min="4" max="4" width="12.5703125" style="2" bestFit="1" customWidth="1"/>
    <col min="5" max="11" width="11.42578125" style="1"/>
    <col min="12" max="12" width="5.140625" style="1" customWidth="1"/>
    <col min="13" max="17" width="11.42578125" style="1"/>
    <col min="18" max="18" width="11.5703125" style="1" customWidth="1"/>
    <col min="19" max="16384" width="11.42578125" style="1"/>
  </cols>
  <sheetData>
    <row r="1" spans="1:14" ht="17.25" thickBot="1" x14ac:dyDescent="0.35">
      <c r="A1" s="13">
        <v>1000000000</v>
      </c>
      <c r="B1" s="20" t="s">
        <v>4</v>
      </c>
    </row>
    <row r="2" spans="1:14" ht="30" customHeight="1" thickBot="1" x14ac:dyDescent="0.35">
      <c r="A2" s="19" t="s">
        <v>3</v>
      </c>
      <c r="B2" s="18" t="s">
        <v>2</v>
      </c>
      <c r="C2" s="17" t="s">
        <v>1</v>
      </c>
      <c r="D2" s="16"/>
    </row>
    <row r="3" spans="1:14" x14ac:dyDescent="0.3">
      <c r="A3" s="14">
        <v>36130</v>
      </c>
      <c r="B3" s="13">
        <v>198.2259697096562</v>
      </c>
      <c r="C3" s="12"/>
      <c r="D3" s="121"/>
      <c r="E3" s="122" t="s">
        <v>78</v>
      </c>
      <c r="F3" s="124"/>
      <c r="G3" s="124"/>
      <c r="H3" s="122"/>
      <c r="I3" s="122"/>
      <c r="J3" s="122"/>
      <c r="K3" s="122"/>
      <c r="L3" s="122"/>
      <c r="N3" s="2"/>
    </row>
    <row r="4" spans="1:14" x14ac:dyDescent="0.3">
      <c r="A4" s="14">
        <v>36161</v>
      </c>
      <c r="B4" s="13">
        <v>197.37018112494135</v>
      </c>
      <c r="C4" s="12"/>
      <c r="D4" s="121"/>
      <c r="E4" s="122" t="s">
        <v>77</v>
      </c>
      <c r="F4" s="122"/>
      <c r="G4" s="122"/>
      <c r="H4" s="121"/>
      <c r="I4" s="122"/>
      <c r="J4" s="122"/>
      <c r="K4" s="122"/>
      <c r="L4" s="122"/>
      <c r="N4" s="2"/>
    </row>
    <row r="5" spans="1:14" x14ac:dyDescent="0.3">
      <c r="A5" s="14">
        <v>36192</v>
      </c>
      <c r="B5" s="13">
        <v>192.72714347649003</v>
      </c>
      <c r="C5" s="12"/>
      <c r="D5" s="121"/>
      <c r="E5" s="122"/>
      <c r="F5" s="122"/>
      <c r="G5" s="122"/>
      <c r="H5" s="122"/>
      <c r="I5" s="122"/>
      <c r="J5" s="122"/>
      <c r="K5" s="122"/>
      <c r="L5" s="122"/>
      <c r="N5" s="2"/>
    </row>
    <row r="6" spans="1:14" x14ac:dyDescent="0.3">
      <c r="A6" s="14">
        <v>36220</v>
      </c>
      <c r="B6" s="13">
        <v>187.92566536293955</v>
      </c>
      <c r="C6" s="12"/>
      <c r="D6" s="121"/>
      <c r="E6" s="122"/>
      <c r="F6" s="122"/>
      <c r="G6" s="122"/>
      <c r="H6" s="122"/>
      <c r="I6" s="122"/>
      <c r="J6" s="122"/>
      <c r="K6" s="122"/>
      <c r="L6" s="122"/>
      <c r="N6" s="2"/>
    </row>
    <row r="7" spans="1:14" x14ac:dyDescent="0.3">
      <c r="A7" s="14">
        <v>36251</v>
      </c>
      <c r="B7" s="13">
        <v>186.82642732239853</v>
      </c>
      <c r="C7" s="12"/>
      <c r="D7" s="121"/>
      <c r="E7" s="122"/>
      <c r="F7" s="122"/>
      <c r="G7" s="122"/>
      <c r="H7" s="122"/>
      <c r="I7" s="122"/>
      <c r="J7" s="122"/>
      <c r="K7" s="122"/>
      <c r="L7" s="122"/>
      <c r="N7" s="2"/>
    </row>
    <row r="8" spans="1:14" x14ac:dyDescent="0.3">
      <c r="A8" s="14">
        <v>36281</v>
      </c>
      <c r="B8" s="13">
        <v>183.04097988796693</v>
      </c>
      <c r="C8" s="12"/>
      <c r="D8" s="121"/>
      <c r="E8" s="122"/>
      <c r="F8" s="122"/>
      <c r="G8" s="122"/>
      <c r="H8" s="122"/>
      <c r="I8" s="122"/>
      <c r="J8" s="122"/>
      <c r="K8" s="122"/>
      <c r="L8" s="122"/>
      <c r="N8" s="2"/>
    </row>
    <row r="9" spans="1:14" x14ac:dyDescent="0.3">
      <c r="A9" s="14">
        <v>36312</v>
      </c>
      <c r="B9" s="13">
        <v>181.28687299036307</v>
      </c>
      <c r="C9" s="12"/>
      <c r="D9" s="121"/>
      <c r="E9" s="122"/>
      <c r="F9" s="122"/>
      <c r="G9" s="122"/>
      <c r="H9" s="122"/>
      <c r="I9" s="122"/>
      <c r="J9" s="122"/>
      <c r="K9" s="122"/>
      <c r="L9" s="122"/>
      <c r="N9" s="2"/>
    </row>
    <row r="10" spans="1:14" x14ac:dyDescent="0.3">
      <c r="A10" s="14">
        <v>36342</v>
      </c>
      <c r="B10" s="13">
        <v>180.75705849193176</v>
      </c>
      <c r="C10" s="12"/>
      <c r="D10" s="121"/>
      <c r="E10" s="122"/>
      <c r="F10" s="122"/>
      <c r="G10" s="122"/>
      <c r="H10" s="122"/>
      <c r="I10" s="122"/>
      <c r="J10" s="122"/>
      <c r="K10" s="122"/>
      <c r="L10" s="122"/>
      <c r="N10" s="2"/>
    </row>
    <row r="11" spans="1:14" x14ac:dyDescent="0.3">
      <c r="A11" s="14">
        <v>36373</v>
      </c>
      <c r="B11" s="13">
        <v>182.69613262927379</v>
      </c>
      <c r="C11" s="12"/>
      <c r="D11" s="121"/>
      <c r="E11" s="122"/>
      <c r="F11" s="122"/>
      <c r="G11" s="122"/>
      <c r="H11" s="122"/>
      <c r="I11" s="122"/>
      <c r="J11" s="122"/>
      <c r="K11" s="122"/>
      <c r="L11" s="122"/>
      <c r="N11" s="2"/>
    </row>
    <row r="12" spans="1:14" x14ac:dyDescent="0.3">
      <c r="A12" s="14">
        <v>36404</v>
      </c>
      <c r="B12" s="13">
        <v>185.39672032580387</v>
      </c>
      <c r="C12" s="12"/>
      <c r="D12" s="121"/>
      <c r="E12" s="122"/>
      <c r="F12" s="122"/>
      <c r="G12" s="122"/>
      <c r="H12" s="122"/>
      <c r="I12" s="122"/>
      <c r="J12" s="122"/>
      <c r="K12" s="122"/>
      <c r="L12" s="122"/>
      <c r="N12" s="2"/>
    </row>
    <row r="13" spans="1:14" x14ac:dyDescent="0.3">
      <c r="A13" s="14">
        <v>36434</v>
      </c>
      <c r="B13" s="13">
        <v>182.59921197159591</v>
      </c>
      <c r="C13" s="12"/>
      <c r="D13" s="121"/>
      <c r="E13" s="122"/>
      <c r="F13" s="122"/>
      <c r="G13" s="122"/>
      <c r="H13" s="122"/>
      <c r="I13" s="122"/>
      <c r="J13" s="122"/>
      <c r="K13" s="122"/>
      <c r="L13" s="122"/>
      <c r="N13" s="2"/>
    </row>
    <row r="14" spans="1:14" x14ac:dyDescent="0.3">
      <c r="A14" s="14">
        <v>36465</v>
      </c>
      <c r="B14" s="13">
        <v>183.22901649244278</v>
      </c>
      <c r="C14" s="12"/>
      <c r="D14" s="121"/>
      <c r="E14" s="122"/>
      <c r="F14" s="122"/>
      <c r="G14" s="122"/>
      <c r="H14" s="122"/>
      <c r="I14" s="122"/>
      <c r="J14" s="122"/>
      <c r="K14" s="122"/>
      <c r="L14" s="122"/>
      <c r="N14" s="2"/>
    </row>
    <row r="15" spans="1:14" x14ac:dyDescent="0.3">
      <c r="A15" s="14">
        <v>36495</v>
      </c>
      <c r="B15" s="13">
        <v>181.45823304957185</v>
      </c>
      <c r="C15" s="12">
        <f t="shared" ref="C15:C78" si="0">(+B15/B3-1)*100</f>
        <v>-8.4589000546418056</v>
      </c>
      <c r="D15" s="123"/>
      <c r="E15" s="122"/>
      <c r="F15" s="122"/>
      <c r="G15" s="122"/>
      <c r="H15" s="122"/>
      <c r="I15" s="122"/>
      <c r="J15" s="122"/>
      <c r="K15" s="122"/>
      <c r="L15" s="122"/>
      <c r="N15" s="2"/>
    </row>
    <row r="16" spans="1:14" x14ac:dyDescent="0.3">
      <c r="A16" s="14">
        <v>36526</v>
      </c>
      <c r="B16" s="13">
        <v>180.75621484149752</v>
      </c>
      <c r="C16" s="12">
        <f t="shared" si="0"/>
        <v>-8.4176678507107852</v>
      </c>
      <c r="D16" s="123"/>
      <c r="E16" s="122"/>
      <c r="F16" s="122"/>
      <c r="G16" s="122"/>
      <c r="H16" s="122"/>
      <c r="I16" s="122"/>
      <c r="J16" s="122"/>
      <c r="K16" s="122"/>
      <c r="L16" s="122"/>
      <c r="N16" s="2"/>
    </row>
    <row r="17" spans="1:14" x14ac:dyDescent="0.3">
      <c r="A17" s="14">
        <v>36557</v>
      </c>
      <c r="B17" s="13">
        <v>170.05425648684374</v>
      </c>
      <c r="C17" s="12">
        <f t="shared" si="0"/>
        <v>-11.764241704963608</v>
      </c>
      <c r="D17" s="123"/>
      <c r="E17" s="122"/>
      <c r="F17" s="122"/>
      <c r="G17" s="122"/>
      <c r="H17" s="122"/>
      <c r="I17" s="122"/>
      <c r="J17" s="122"/>
      <c r="K17" s="122"/>
      <c r="L17" s="122"/>
      <c r="N17" s="2"/>
    </row>
    <row r="18" spans="1:14" x14ac:dyDescent="0.3">
      <c r="A18" s="14">
        <v>36586</v>
      </c>
      <c r="B18" s="13">
        <v>167.40426439240238</v>
      </c>
      <c r="C18" s="12">
        <f t="shared" si="0"/>
        <v>-10.91995653223009</v>
      </c>
      <c r="D18" s="123"/>
      <c r="E18" s="122"/>
      <c r="F18" s="122"/>
      <c r="G18" s="122"/>
      <c r="H18" s="122"/>
      <c r="I18" s="122"/>
      <c r="J18" s="122"/>
      <c r="K18" s="122"/>
      <c r="L18" s="122"/>
      <c r="N18" s="2"/>
    </row>
    <row r="19" spans="1:14" x14ac:dyDescent="0.3">
      <c r="A19" s="14">
        <v>36617</v>
      </c>
      <c r="B19" s="13">
        <v>167.14943071412287</v>
      </c>
      <c r="C19" s="12">
        <f t="shared" si="0"/>
        <v>-10.532234058257661</v>
      </c>
      <c r="D19" s="123"/>
      <c r="E19" s="122"/>
      <c r="F19" s="122"/>
      <c r="G19" s="122"/>
      <c r="H19" s="122"/>
      <c r="I19" s="122"/>
      <c r="J19" s="122"/>
      <c r="K19" s="122"/>
      <c r="L19" s="122"/>
      <c r="N19" s="2"/>
    </row>
    <row r="20" spans="1:14" x14ac:dyDescent="0.3">
      <c r="A20" s="14">
        <v>36647</v>
      </c>
      <c r="B20" s="13">
        <v>166.29798011032611</v>
      </c>
      <c r="C20" s="12">
        <f t="shared" si="0"/>
        <v>-9.1471318542375784</v>
      </c>
      <c r="D20" s="123"/>
      <c r="E20" s="122"/>
      <c r="F20" s="122"/>
      <c r="G20" s="122"/>
      <c r="H20" s="122"/>
      <c r="I20" s="122"/>
      <c r="J20" s="122"/>
      <c r="K20" s="122"/>
      <c r="L20" s="122"/>
      <c r="N20" s="2"/>
    </row>
    <row r="21" spans="1:14" x14ac:dyDescent="0.3">
      <c r="A21" s="14">
        <v>36678</v>
      </c>
      <c r="B21" s="13">
        <v>164.86025101557766</v>
      </c>
      <c r="C21" s="12">
        <f t="shared" si="0"/>
        <v>-9.0611204792851225</v>
      </c>
      <c r="D21" s="123"/>
      <c r="E21" s="122"/>
      <c r="F21" s="122"/>
      <c r="G21" s="122"/>
      <c r="H21" s="122"/>
      <c r="I21" s="122"/>
      <c r="J21" s="122"/>
      <c r="K21" s="122"/>
      <c r="L21" s="122"/>
      <c r="N21" s="2"/>
    </row>
    <row r="22" spans="1:14" x14ac:dyDescent="0.3">
      <c r="A22" s="14">
        <v>36708</v>
      </c>
      <c r="B22" s="13">
        <v>164.22433949612542</v>
      </c>
      <c r="C22" s="12">
        <f t="shared" si="0"/>
        <v>-9.1463753248365087</v>
      </c>
      <c r="D22" s="123"/>
      <c r="E22" s="122"/>
      <c r="F22" s="122"/>
      <c r="G22" s="122"/>
      <c r="H22" s="122"/>
      <c r="I22" s="122"/>
      <c r="J22" s="122"/>
      <c r="K22" s="122"/>
      <c r="L22" s="122"/>
      <c r="N22" s="2"/>
    </row>
    <row r="23" spans="1:14" x14ac:dyDescent="0.3">
      <c r="A23" s="14">
        <v>36739</v>
      </c>
      <c r="B23" s="13">
        <v>162.60872667628394</v>
      </c>
      <c r="C23" s="12">
        <f t="shared" si="0"/>
        <v>-10.994981483133603</v>
      </c>
      <c r="D23" s="123"/>
      <c r="E23" s="122"/>
      <c r="F23" s="122"/>
      <c r="G23" s="122"/>
      <c r="H23" s="122"/>
      <c r="I23" s="122"/>
      <c r="J23" s="122"/>
      <c r="K23" s="122"/>
      <c r="L23" s="122"/>
      <c r="N23" s="2"/>
    </row>
    <row r="24" spans="1:14" x14ac:dyDescent="0.3">
      <c r="A24" s="14">
        <v>36770</v>
      </c>
      <c r="B24" s="13">
        <v>162.41053093826531</v>
      </c>
      <c r="C24" s="12">
        <f t="shared" si="0"/>
        <v>-12.398379727076158</v>
      </c>
      <c r="D24" s="123"/>
      <c r="E24" s="122" t="s">
        <v>0</v>
      </c>
      <c r="F24" s="122"/>
      <c r="G24" s="122"/>
      <c r="H24" s="122"/>
      <c r="I24" s="122"/>
      <c r="J24" s="122"/>
      <c r="K24" s="122"/>
      <c r="L24" s="122"/>
      <c r="N24" s="2"/>
    </row>
    <row r="25" spans="1:14" x14ac:dyDescent="0.3">
      <c r="A25" s="14">
        <v>36800</v>
      </c>
      <c r="B25" s="13">
        <v>163.70018113398584</v>
      </c>
      <c r="C25" s="12">
        <f t="shared" si="0"/>
        <v>-10.350006790034715</v>
      </c>
      <c r="D25" s="221"/>
      <c r="E25" s="122"/>
      <c r="F25" s="122"/>
      <c r="G25" s="122"/>
      <c r="H25" s="122"/>
      <c r="N25" s="2"/>
    </row>
    <row r="26" spans="1:14" x14ac:dyDescent="0.3">
      <c r="A26" s="14">
        <v>36831</v>
      </c>
      <c r="B26" s="13">
        <v>164.15503971993311</v>
      </c>
      <c r="C26" s="12">
        <f t="shared" si="0"/>
        <v>-10.409910579472204</v>
      </c>
      <c r="D26" s="7" t="s">
        <v>79</v>
      </c>
      <c r="N26" s="2"/>
    </row>
    <row r="27" spans="1:14" x14ac:dyDescent="0.3">
      <c r="A27" s="14">
        <v>36861</v>
      </c>
      <c r="B27" s="13">
        <v>165.13766320892566</v>
      </c>
      <c r="C27" s="12">
        <f t="shared" si="0"/>
        <v>-8.9941192341422393</v>
      </c>
      <c r="D27" s="7"/>
      <c r="N27" s="2"/>
    </row>
    <row r="28" spans="1:14" x14ac:dyDescent="0.3">
      <c r="A28" s="14">
        <v>36892</v>
      </c>
      <c r="B28" s="13">
        <v>163.34278284997001</v>
      </c>
      <c r="C28" s="12">
        <f t="shared" si="0"/>
        <v>-9.6336560304701617</v>
      </c>
      <c r="D28" s="7"/>
      <c r="N28" s="2"/>
    </row>
    <row r="29" spans="1:14" x14ac:dyDescent="0.3">
      <c r="A29" s="14">
        <v>36923</v>
      </c>
      <c r="B29" s="13">
        <v>159.7682137219569</v>
      </c>
      <c r="C29" s="12">
        <f t="shared" si="0"/>
        <v>-6.0486829188439728</v>
      </c>
      <c r="D29" s="7"/>
      <c r="N29" s="2"/>
    </row>
    <row r="30" spans="1:14" x14ac:dyDescent="0.3">
      <c r="A30" s="14">
        <v>36951</v>
      </c>
      <c r="B30" s="13">
        <v>157.73645277073871</v>
      </c>
      <c r="C30" s="12">
        <f t="shared" si="0"/>
        <v>-5.7751286424830406</v>
      </c>
      <c r="D30" s="7"/>
      <c r="N30" s="2"/>
    </row>
    <row r="31" spans="1:14" x14ac:dyDescent="0.3">
      <c r="A31" s="14">
        <v>36982</v>
      </c>
      <c r="B31" s="13">
        <v>157.58217148145457</v>
      </c>
      <c r="C31" s="12">
        <f t="shared" si="0"/>
        <v>-5.7237761395857012</v>
      </c>
      <c r="D31" s="7"/>
      <c r="N31" s="2"/>
    </row>
    <row r="32" spans="1:14" x14ac:dyDescent="0.3">
      <c r="A32" s="14">
        <v>37012</v>
      </c>
      <c r="B32" s="13">
        <v>157.48538874022185</v>
      </c>
      <c r="C32" s="12">
        <f t="shared" si="0"/>
        <v>-5.2992774562010787</v>
      </c>
      <c r="D32" s="7"/>
      <c r="N32" s="2"/>
    </row>
    <row r="33" spans="1:14" x14ac:dyDescent="0.3">
      <c r="A33" s="14">
        <v>37043</v>
      </c>
      <c r="B33" s="13">
        <v>158.18854481050047</v>
      </c>
      <c r="C33" s="12">
        <f t="shared" si="0"/>
        <v>-4.0468858708984872</v>
      </c>
      <c r="D33" s="7"/>
      <c r="N33" s="2"/>
    </row>
    <row r="34" spans="1:14" x14ac:dyDescent="0.3">
      <c r="A34" s="14">
        <v>37073</v>
      </c>
      <c r="B34" s="13">
        <v>157.03322046192298</v>
      </c>
      <c r="C34" s="12">
        <f t="shared" si="0"/>
        <v>-4.3788387618219682</v>
      </c>
      <c r="D34" s="7"/>
      <c r="N34" s="2"/>
    </row>
    <row r="35" spans="1:14" x14ac:dyDescent="0.3">
      <c r="A35" s="14">
        <v>37104</v>
      </c>
      <c r="B35" s="13">
        <v>157.10550345184788</v>
      </c>
      <c r="C35" s="12">
        <f t="shared" si="0"/>
        <v>-3.3843344923250585</v>
      </c>
      <c r="D35" s="7"/>
      <c r="N35" s="2"/>
    </row>
    <row r="36" spans="1:14" x14ac:dyDescent="0.3">
      <c r="A36" s="14">
        <v>37135</v>
      </c>
      <c r="B36" s="13">
        <v>158.41629263283039</v>
      </c>
      <c r="C36" s="12">
        <f t="shared" si="0"/>
        <v>-2.4593468676936903</v>
      </c>
      <c r="D36" s="7"/>
      <c r="N36" s="2"/>
    </row>
    <row r="37" spans="1:14" x14ac:dyDescent="0.3">
      <c r="A37" s="14">
        <v>37165</v>
      </c>
      <c r="B37" s="13">
        <v>159.42869702862291</v>
      </c>
      <c r="C37" s="12">
        <f t="shared" si="0"/>
        <v>-2.6093337684622298</v>
      </c>
      <c r="D37" s="7"/>
      <c r="N37" s="2"/>
    </row>
    <row r="38" spans="1:14" x14ac:dyDescent="0.3">
      <c r="A38" s="14">
        <v>37196</v>
      </c>
      <c r="B38" s="13">
        <v>162.96687063619075</v>
      </c>
      <c r="C38" s="12">
        <f t="shared" si="0"/>
        <v>-0.72380908059205273</v>
      </c>
      <c r="D38" s="7"/>
      <c r="N38" s="2"/>
    </row>
    <row r="39" spans="1:14" x14ac:dyDescent="0.3">
      <c r="A39" s="14">
        <v>37226</v>
      </c>
      <c r="B39" s="13">
        <v>163.44290456480095</v>
      </c>
      <c r="C39" s="12">
        <f t="shared" si="0"/>
        <v>-1.0262702106790478</v>
      </c>
      <c r="D39" s="7"/>
      <c r="N39" s="2"/>
    </row>
    <row r="40" spans="1:14" x14ac:dyDescent="0.3">
      <c r="A40" s="14">
        <v>37257</v>
      </c>
      <c r="B40" s="13">
        <v>160.25617017414203</v>
      </c>
      <c r="C40" s="12">
        <f t="shared" si="0"/>
        <v>-1.8896535383892799</v>
      </c>
      <c r="D40" s="7"/>
      <c r="N40" s="2"/>
    </row>
    <row r="41" spans="1:14" x14ac:dyDescent="0.3">
      <c r="A41" s="14">
        <v>37288</v>
      </c>
      <c r="B41" s="13">
        <v>159.96456805242948</v>
      </c>
      <c r="C41" s="12">
        <f t="shared" si="0"/>
        <v>0.12289949665100774</v>
      </c>
      <c r="D41" s="7"/>
      <c r="N41" s="2"/>
    </row>
    <row r="42" spans="1:14" x14ac:dyDescent="0.3">
      <c r="A42" s="14">
        <v>37316</v>
      </c>
      <c r="B42" s="13">
        <v>158.9145802114673</v>
      </c>
      <c r="C42" s="12">
        <f t="shared" si="0"/>
        <v>0.74689611693052882</v>
      </c>
      <c r="D42" s="7"/>
      <c r="N42" s="2"/>
    </row>
    <row r="43" spans="1:14" x14ac:dyDescent="0.3">
      <c r="A43" s="14">
        <v>37347</v>
      </c>
      <c r="B43" s="13">
        <v>159.85594189105143</v>
      </c>
      <c r="C43" s="12">
        <f t="shared" si="0"/>
        <v>1.4429109512965832</v>
      </c>
      <c r="D43" s="7"/>
      <c r="N43" s="2"/>
    </row>
    <row r="44" spans="1:14" x14ac:dyDescent="0.3">
      <c r="A44" s="14">
        <v>37377</v>
      </c>
      <c r="B44" s="13">
        <v>159.39887021124386</v>
      </c>
      <c r="C44" s="12">
        <f t="shared" si="0"/>
        <v>1.2150215879254578</v>
      </c>
      <c r="D44" s="7"/>
      <c r="N44" s="2"/>
    </row>
    <row r="45" spans="1:14" x14ac:dyDescent="0.3">
      <c r="A45" s="14">
        <v>37408</v>
      </c>
      <c r="B45" s="13">
        <v>159.85281366674121</v>
      </c>
      <c r="C45" s="12">
        <f t="shared" si="0"/>
        <v>1.0520792502607623</v>
      </c>
      <c r="D45" s="7"/>
      <c r="N45" s="2"/>
    </row>
    <row r="46" spans="1:14" x14ac:dyDescent="0.3">
      <c r="A46" s="14">
        <v>37438</v>
      </c>
      <c r="B46" s="13">
        <v>160.15626570478872</v>
      </c>
      <c r="C46" s="12">
        <f t="shared" si="0"/>
        <v>1.9887799751409974</v>
      </c>
      <c r="D46" s="7"/>
      <c r="N46" s="2"/>
    </row>
    <row r="47" spans="1:14" x14ac:dyDescent="0.3">
      <c r="A47" s="14">
        <v>37469</v>
      </c>
      <c r="B47" s="13">
        <v>160.75485762559083</v>
      </c>
      <c r="C47" s="12">
        <f t="shared" si="0"/>
        <v>2.3228684505386843</v>
      </c>
      <c r="D47" s="7"/>
      <c r="N47" s="2"/>
    </row>
    <row r="48" spans="1:14" x14ac:dyDescent="0.3">
      <c r="A48" s="14">
        <v>37500</v>
      </c>
      <c r="B48" s="13">
        <v>161.56200418822505</v>
      </c>
      <c r="C48" s="12">
        <f t="shared" si="0"/>
        <v>1.9857247654984755</v>
      </c>
      <c r="D48" s="7"/>
      <c r="N48" s="2"/>
    </row>
    <row r="49" spans="1:14" x14ac:dyDescent="0.3">
      <c r="A49" s="14">
        <v>37530</v>
      </c>
      <c r="B49" s="13">
        <v>160.26913650672626</v>
      </c>
      <c r="C49" s="12">
        <f t="shared" si="0"/>
        <v>0.52715696343705876</v>
      </c>
      <c r="D49" s="7"/>
      <c r="N49" s="2"/>
    </row>
    <row r="50" spans="1:14" x14ac:dyDescent="0.3">
      <c r="A50" s="14">
        <v>37561</v>
      </c>
      <c r="B50" s="13">
        <v>163.2202054544689</v>
      </c>
      <c r="C50" s="12">
        <f t="shared" si="0"/>
        <v>0.15545172910860217</v>
      </c>
      <c r="D50" s="7"/>
      <c r="N50" s="2"/>
    </row>
    <row r="51" spans="1:14" x14ac:dyDescent="0.3">
      <c r="A51" s="14">
        <v>37591</v>
      </c>
      <c r="B51" s="13">
        <v>164.27008380343315</v>
      </c>
      <c r="C51" s="12">
        <f t="shared" si="0"/>
        <v>0.50609675643902285</v>
      </c>
      <c r="D51" s="7"/>
      <c r="N51" s="2"/>
    </row>
    <row r="52" spans="1:14" x14ac:dyDescent="0.3">
      <c r="A52" s="14">
        <v>37622</v>
      </c>
      <c r="B52" s="13">
        <v>162.76891472681118</v>
      </c>
      <c r="C52" s="12">
        <f t="shared" si="0"/>
        <v>1.5679549498397893</v>
      </c>
      <c r="D52" s="7"/>
      <c r="N52" s="2"/>
    </row>
    <row r="53" spans="1:14" x14ac:dyDescent="0.3">
      <c r="A53" s="14">
        <v>37653</v>
      </c>
      <c r="B53" s="13">
        <v>162.54452007901745</v>
      </c>
      <c r="C53" s="12">
        <f t="shared" si="0"/>
        <v>1.612827176667242</v>
      </c>
      <c r="D53" s="7"/>
      <c r="N53" s="2"/>
    </row>
    <row r="54" spans="1:14" x14ac:dyDescent="0.3">
      <c r="A54" s="14">
        <v>37681</v>
      </c>
      <c r="B54" s="13">
        <v>161.02099135834354</v>
      </c>
      <c r="C54" s="12">
        <f t="shared" si="0"/>
        <v>1.3254989844690312</v>
      </c>
      <c r="D54" s="7"/>
      <c r="N54" s="2"/>
    </row>
    <row r="55" spans="1:14" x14ac:dyDescent="0.3">
      <c r="A55" s="14">
        <v>37712</v>
      </c>
      <c r="B55" s="13">
        <v>160.07513683059548</v>
      </c>
      <c r="C55" s="12">
        <f t="shared" si="0"/>
        <v>0.13712029528025749</v>
      </c>
      <c r="D55" s="7"/>
      <c r="N55" s="2"/>
    </row>
    <row r="56" spans="1:14" x14ac:dyDescent="0.3">
      <c r="A56" s="14">
        <v>37742</v>
      </c>
      <c r="B56" s="13">
        <v>162.00741723570079</v>
      </c>
      <c r="C56" s="12">
        <f t="shared" si="0"/>
        <v>1.6364902844041129</v>
      </c>
      <c r="D56" s="7"/>
      <c r="N56" s="2"/>
    </row>
    <row r="57" spans="1:14" x14ac:dyDescent="0.3">
      <c r="A57" s="14">
        <v>37773</v>
      </c>
      <c r="B57" s="13">
        <v>161.81554469780747</v>
      </c>
      <c r="C57" s="12">
        <f t="shared" si="0"/>
        <v>1.2278363990252394</v>
      </c>
      <c r="D57" s="7"/>
      <c r="N57" s="2"/>
    </row>
    <row r="58" spans="1:14" x14ac:dyDescent="0.3">
      <c r="A58" s="14">
        <v>37803</v>
      </c>
      <c r="B58" s="13">
        <v>160.34495867032803</v>
      </c>
      <c r="C58" s="12">
        <f t="shared" si="0"/>
        <v>0.11781803522261658</v>
      </c>
      <c r="D58" s="7"/>
      <c r="N58" s="2"/>
    </row>
    <row r="59" spans="1:14" x14ac:dyDescent="0.3">
      <c r="A59" s="14">
        <v>37834</v>
      </c>
      <c r="B59" s="13">
        <v>160.62860582425955</v>
      </c>
      <c r="C59" s="12">
        <f t="shared" si="0"/>
        <v>-7.8536849956556409E-2</v>
      </c>
      <c r="D59" s="7"/>
      <c r="N59" s="2"/>
    </row>
    <row r="60" spans="1:14" x14ac:dyDescent="0.3">
      <c r="A60" s="14">
        <v>37865</v>
      </c>
      <c r="B60" s="13">
        <v>161.35145099316995</v>
      </c>
      <c r="C60" s="12">
        <f t="shared" si="0"/>
        <v>-0.1303234607128223</v>
      </c>
      <c r="D60" s="7"/>
      <c r="N60" s="2"/>
    </row>
    <row r="61" spans="1:14" x14ac:dyDescent="0.3">
      <c r="A61" s="14">
        <v>37895</v>
      </c>
      <c r="B61" s="13">
        <v>162.71443417944511</v>
      </c>
      <c r="C61" s="12">
        <f t="shared" si="0"/>
        <v>1.5257445856496687</v>
      </c>
      <c r="D61" s="7"/>
      <c r="N61" s="2"/>
    </row>
    <row r="62" spans="1:14" x14ac:dyDescent="0.3">
      <c r="A62" s="14">
        <v>37926</v>
      </c>
      <c r="B62" s="13">
        <v>165.85369187646873</v>
      </c>
      <c r="C62" s="12">
        <f t="shared" si="0"/>
        <v>1.6134561371658585</v>
      </c>
      <c r="D62" s="7"/>
      <c r="N62" s="2"/>
    </row>
    <row r="63" spans="1:14" x14ac:dyDescent="0.3">
      <c r="A63" s="14">
        <v>37956</v>
      </c>
      <c r="B63" s="13">
        <v>167.93899469611532</v>
      </c>
      <c r="C63" s="12">
        <f t="shared" si="0"/>
        <v>2.2334626048358341</v>
      </c>
      <c r="D63" s="7"/>
      <c r="N63" s="2"/>
    </row>
    <row r="64" spans="1:14" x14ac:dyDescent="0.3">
      <c r="A64" s="14">
        <v>37987</v>
      </c>
      <c r="B64" s="13">
        <v>167.23975159400226</v>
      </c>
      <c r="C64" s="12">
        <f t="shared" si="0"/>
        <v>2.7467387582542191</v>
      </c>
      <c r="D64" s="7"/>
      <c r="N64" s="2"/>
    </row>
    <row r="65" spans="1:14" x14ac:dyDescent="0.3">
      <c r="A65" s="14">
        <v>38018</v>
      </c>
      <c r="B65" s="13">
        <v>166.96006492199334</v>
      </c>
      <c r="C65" s="12">
        <f t="shared" si="0"/>
        <v>2.7165141223028488</v>
      </c>
      <c r="D65" s="7"/>
      <c r="N65" s="2"/>
    </row>
    <row r="66" spans="1:14" x14ac:dyDescent="0.3">
      <c r="A66" s="14">
        <v>38047</v>
      </c>
      <c r="B66" s="13">
        <v>168.04850010424227</v>
      </c>
      <c r="C66" s="12">
        <f t="shared" si="0"/>
        <v>4.364343236627688</v>
      </c>
      <c r="D66" s="7"/>
      <c r="N66" s="2"/>
    </row>
    <row r="67" spans="1:14" x14ac:dyDescent="0.3">
      <c r="A67" s="14">
        <v>38078</v>
      </c>
      <c r="B67" s="13">
        <v>167.92110066485063</v>
      </c>
      <c r="C67" s="12">
        <f t="shared" si="0"/>
        <v>4.9014256614744456</v>
      </c>
      <c r="D67" s="7"/>
      <c r="N67" s="2"/>
    </row>
    <row r="68" spans="1:14" x14ac:dyDescent="0.3">
      <c r="A68" s="14">
        <v>38108</v>
      </c>
      <c r="B68" s="13">
        <v>167.52280314879633</v>
      </c>
      <c r="C68" s="12">
        <f t="shared" si="0"/>
        <v>3.404403333627215</v>
      </c>
      <c r="D68" s="7"/>
      <c r="N68" s="2"/>
    </row>
    <row r="69" spans="1:14" x14ac:dyDescent="0.3">
      <c r="A69" s="14">
        <v>38139</v>
      </c>
      <c r="B69" s="13">
        <v>170.25213543427745</v>
      </c>
      <c r="C69" s="12">
        <f t="shared" si="0"/>
        <v>5.2137084556526547</v>
      </c>
      <c r="D69" s="7"/>
      <c r="N69" s="2"/>
    </row>
    <row r="70" spans="1:14" x14ac:dyDescent="0.3">
      <c r="A70" s="14">
        <v>38169</v>
      </c>
      <c r="B70" s="13">
        <v>170.71460019594923</v>
      </c>
      <c r="C70" s="12">
        <f t="shared" si="0"/>
        <v>6.467082976360583</v>
      </c>
      <c r="D70" s="7"/>
      <c r="N70" s="2"/>
    </row>
    <row r="71" spans="1:14" x14ac:dyDescent="0.3">
      <c r="A71" s="14">
        <v>38200</v>
      </c>
      <c r="B71" s="13">
        <v>174.64122013484658</v>
      </c>
      <c r="C71" s="12">
        <f t="shared" si="0"/>
        <v>8.7236107408651407</v>
      </c>
      <c r="D71" s="7"/>
      <c r="N71" s="2"/>
    </row>
    <row r="72" spans="1:14" x14ac:dyDescent="0.3">
      <c r="A72" s="14">
        <v>38231</v>
      </c>
      <c r="B72" s="13">
        <v>176.46805863581761</v>
      </c>
      <c r="C72" s="12">
        <f t="shared" si="0"/>
        <v>9.3687460196980599</v>
      </c>
      <c r="D72" s="7"/>
      <c r="N72" s="2"/>
    </row>
    <row r="73" spans="1:14" x14ac:dyDescent="0.3">
      <c r="A73" s="14">
        <v>38261</v>
      </c>
      <c r="B73" s="13">
        <v>180.32876794844313</v>
      </c>
      <c r="C73" s="12">
        <f t="shared" si="0"/>
        <v>10.825304993884277</v>
      </c>
      <c r="D73" s="7"/>
      <c r="N73" s="2"/>
    </row>
    <row r="74" spans="1:14" x14ac:dyDescent="0.3">
      <c r="A74" s="14">
        <v>38292</v>
      </c>
      <c r="B74" s="13">
        <v>183.72306129651534</v>
      </c>
      <c r="C74" s="12">
        <f t="shared" si="0"/>
        <v>10.774176455086737</v>
      </c>
      <c r="D74" s="7"/>
      <c r="N74" s="2"/>
    </row>
    <row r="75" spans="1:14" x14ac:dyDescent="0.3">
      <c r="A75" s="14">
        <v>38322</v>
      </c>
      <c r="B75" s="13">
        <v>187.90196930814773</v>
      </c>
      <c r="C75" s="12">
        <f t="shared" si="0"/>
        <v>11.88703948606773</v>
      </c>
      <c r="D75" s="7"/>
      <c r="N75" s="2"/>
    </row>
    <row r="76" spans="1:14" x14ac:dyDescent="0.3">
      <c r="A76" s="14">
        <v>38353</v>
      </c>
      <c r="B76" s="13">
        <v>187.85312072179525</v>
      </c>
      <c r="C76" s="12">
        <f t="shared" si="0"/>
        <v>12.325639646867458</v>
      </c>
      <c r="D76" s="7"/>
      <c r="N76" s="2"/>
    </row>
    <row r="77" spans="1:14" x14ac:dyDescent="0.3">
      <c r="A77" s="14">
        <v>38384</v>
      </c>
      <c r="B77" s="13">
        <v>185.06158735738819</v>
      </c>
      <c r="C77" s="12">
        <f t="shared" si="0"/>
        <v>10.841827621384903</v>
      </c>
      <c r="D77" s="7"/>
      <c r="N77" s="2"/>
    </row>
    <row r="78" spans="1:14" x14ac:dyDescent="0.3">
      <c r="A78" s="14">
        <v>38412</v>
      </c>
      <c r="B78" s="13">
        <v>184.84763931924584</v>
      </c>
      <c r="C78" s="12">
        <f t="shared" si="0"/>
        <v>9.9966016980710393</v>
      </c>
      <c r="D78" s="7"/>
      <c r="N78" s="2"/>
    </row>
    <row r="79" spans="1:14" x14ac:dyDescent="0.3">
      <c r="A79" s="14">
        <v>38443</v>
      </c>
      <c r="B79" s="13">
        <v>188.78793559024635</v>
      </c>
      <c r="C79" s="12">
        <f t="shared" ref="C79:C142" si="1">(+B79/B67-1)*100</f>
        <v>12.426571075807381</v>
      </c>
      <c r="D79" s="7"/>
      <c r="N79" s="2"/>
    </row>
    <row r="80" spans="1:14" x14ac:dyDescent="0.3">
      <c r="A80" s="14">
        <v>38473</v>
      </c>
      <c r="B80" s="13">
        <v>190.30020584276559</v>
      </c>
      <c r="C80" s="12">
        <f t="shared" si="1"/>
        <v>13.596598353083934</v>
      </c>
      <c r="D80" s="7"/>
      <c r="N80" s="2"/>
    </row>
    <row r="81" spans="1:14" x14ac:dyDescent="0.3">
      <c r="A81" s="14">
        <v>38504</v>
      </c>
      <c r="B81" s="13">
        <v>193.70262344639551</v>
      </c>
      <c r="C81" s="12">
        <f t="shared" si="1"/>
        <v>13.773975846059594</v>
      </c>
      <c r="D81" s="7"/>
      <c r="N81" s="2"/>
    </row>
    <row r="82" spans="1:14" x14ac:dyDescent="0.3">
      <c r="A82" s="14">
        <v>38534</v>
      </c>
      <c r="B82" s="13">
        <v>193.11117926648717</v>
      </c>
      <c r="C82" s="12">
        <f t="shared" si="1"/>
        <v>13.119310852634026</v>
      </c>
      <c r="D82" s="7"/>
      <c r="N82" s="2"/>
    </row>
    <row r="83" spans="1:14" x14ac:dyDescent="0.3">
      <c r="A83" s="14">
        <v>38565</v>
      </c>
      <c r="B83" s="13">
        <v>193.94364874197052</v>
      </c>
      <c r="C83" s="12">
        <f t="shared" si="1"/>
        <v>11.052618959155147</v>
      </c>
      <c r="D83" s="7"/>
      <c r="N83" s="2"/>
    </row>
    <row r="84" spans="1:14" x14ac:dyDescent="0.3">
      <c r="A84" s="14">
        <v>38596</v>
      </c>
      <c r="B84" s="13">
        <v>197.57772728527132</v>
      </c>
      <c r="C84" s="12">
        <f t="shared" si="1"/>
        <v>11.96231704062567</v>
      </c>
      <c r="D84" s="7"/>
      <c r="N84" s="2"/>
    </row>
    <row r="85" spans="1:14" x14ac:dyDescent="0.3">
      <c r="A85" s="14">
        <v>38626</v>
      </c>
      <c r="B85" s="13">
        <v>200.71052431113236</v>
      </c>
      <c r="C85" s="12">
        <f t="shared" si="1"/>
        <v>11.302553993224462</v>
      </c>
      <c r="D85" s="7"/>
      <c r="N85" s="2"/>
    </row>
    <row r="86" spans="1:14" x14ac:dyDescent="0.3">
      <c r="A86" s="14">
        <v>38657</v>
      </c>
      <c r="B86" s="13">
        <v>205.1711849291338</v>
      </c>
      <c r="C86" s="12">
        <f t="shared" si="1"/>
        <v>11.674159727832301</v>
      </c>
      <c r="D86" s="7"/>
      <c r="N86" s="2"/>
    </row>
    <row r="87" spans="1:14" x14ac:dyDescent="0.3">
      <c r="A87" s="14">
        <v>38687</v>
      </c>
      <c r="B87" s="13">
        <v>211.85834590590829</v>
      </c>
      <c r="C87" s="12">
        <f t="shared" si="1"/>
        <v>12.74940155548534</v>
      </c>
      <c r="D87" s="7"/>
      <c r="N87" s="2"/>
    </row>
    <row r="88" spans="1:14" x14ac:dyDescent="0.3">
      <c r="A88" s="14">
        <v>38718</v>
      </c>
      <c r="B88" s="13">
        <v>212.15722563031639</v>
      </c>
      <c r="C88" s="12">
        <f t="shared" si="1"/>
        <v>12.93782334578022</v>
      </c>
      <c r="D88" s="7"/>
      <c r="N88" s="2"/>
    </row>
    <row r="89" spans="1:14" x14ac:dyDescent="0.3">
      <c r="A89" s="14">
        <v>38749</v>
      </c>
      <c r="B89" s="13">
        <v>212.66087497002363</v>
      </c>
      <c r="C89" s="12">
        <f t="shared" si="1"/>
        <v>14.913569048414189</v>
      </c>
      <c r="D89" s="7"/>
      <c r="N89" s="2"/>
    </row>
    <row r="90" spans="1:14" x14ac:dyDescent="0.3">
      <c r="A90" s="14">
        <v>38777</v>
      </c>
      <c r="B90" s="13">
        <v>214.14748032845816</v>
      </c>
      <c r="C90" s="12">
        <f t="shared" si="1"/>
        <v>15.850806165075927</v>
      </c>
      <c r="D90" s="7"/>
      <c r="N90" s="2"/>
    </row>
    <row r="91" spans="1:14" x14ac:dyDescent="0.3">
      <c r="A91" s="14">
        <v>38808</v>
      </c>
      <c r="B91" s="13">
        <v>214.92248676690977</v>
      </c>
      <c r="C91" s="12">
        <f t="shared" si="1"/>
        <v>13.843337549591617</v>
      </c>
      <c r="D91" s="7"/>
      <c r="N91" s="2"/>
    </row>
    <row r="92" spans="1:14" x14ac:dyDescent="0.3">
      <c r="A92" s="14">
        <v>38838</v>
      </c>
      <c r="B92" s="13">
        <v>215.11519921180036</v>
      </c>
      <c r="C92" s="12">
        <f t="shared" si="1"/>
        <v>13.039919352235497</v>
      </c>
      <c r="D92" s="7"/>
      <c r="N92" s="2"/>
    </row>
    <row r="93" spans="1:14" x14ac:dyDescent="0.3">
      <c r="A93" s="14">
        <v>38869</v>
      </c>
      <c r="B93" s="13">
        <v>221.13178893740186</v>
      </c>
      <c r="C93" s="12">
        <f t="shared" si="1"/>
        <v>14.160451212782355</v>
      </c>
      <c r="D93" s="7"/>
      <c r="N93" s="2"/>
    </row>
    <row r="94" spans="1:14" x14ac:dyDescent="0.3">
      <c r="A94" s="14">
        <v>38899</v>
      </c>
      <c r="B94" s="13">
        <v>220.94868534316149</v>
      </c>
      <c r="C94" s="12">
        <f t="shared" si="1"/>
        <v>14.415274238608134</v>
      </c>
      <c r="D94" s="7"/>
      <c r="N94" s="2"/>
    </row>
    <row r="95" spans="1:14" x14ac:dyDescent="0.3">
      <c r="A95" s="14">
        <v>38930</v>
      </c>
      <c r="B95" s="13">
        <v>223.59817279914316</v>
      </c>
      <c r="C95" s="12">
        <f t="shared" si="1"/>
        <v>15.290278516223065</v>
      </c>
      <c r="D95" s="7"/>
      <c r="N95" s="2"/>
    </row>
    <row r="96" spans="1:14" x14ac:dyDescent="0.3">
      <c r="A96" s="14">
        <v>38961</v>
      </c>
      <c r="B96" s="13">
        <v>222.87921365336732</v>
      </c>
      <c r="C96" s="12">
        <f t="shared" si="1"/>
        <v>12.805839360407557</v>
      </c>
      <c r="D96" s="7"/>
      <c r="N96" s="2"/>
    </row>
    <row r="97" spans="1:14" x14ac:dyDescent="0.3">
      <c r="A97" s="14">
        <v>38991</v>
      </c>
      <c r="B97" s="13">
        <v>227.26122727560087</v>
      </c>
      <c r="C97" s="12">
        <f t="shared" si="1"/>
        <v>13.22835613906863</v>
      </c>
      <c r="D97" s="7"/>
      <c r="N97" s="2"/>
    </row>
    <row r="98" spans="1:14" x14ac:dyDescent="0.3">
      <c r="A98" s="14">
        <v>39022</v>
      </c>
      <c r="B98" s="13">
        <v>231.37471866297352</v>
      </c>
      <c r="C98" s="12">
        <f t="shared" si="1"/>
        <v>12.771546717386473</v>
      </c>
      <c r="D98" s="7"/>
      <c r="N98" s="2"/>
    </row>
    <row r="99" spans="1:14" x14ac:dyDescent="0.3">
      <c r="A99" s="14">
        <v>39052</v>
      </c>
      <c r="B99" s="13">
        <v>235.61056979134759</v>
      </c>
      <c r="C99" s="12">
        <f t="shared" si="1"/>
        <v>11.211370401234166</v>
      </c>
      <c r="D99" s="7"/>
      <c r="N99" s="2"/>
    </row>
    <row r="100" spans="1:14" x14ac:dyDescent="0.3">
      <c r="A100" s="14">
        <v>39083</v>
      </c>
      <c r="B100" s="13">
        <v>232.79382449982603</v>
      </c>
      <c r="C100" s="12">
        <f t="shared" si="1"/>
        <v>9.7270308886244994</v>
      </c>
      <c r="D100" s="7"/>
      <c r="N100" s="2"/>
    </row>
    <row r="101" spans="1:14" x14ac:dyDescent="0.3">
      <c r="A101" s="14">
        <v>39114</v>
      </c>
      <c r="B101" s="13">
        <v>239.10298272895994</v>
      </c>
      <c r="C101" s="12">
        <f t="shared" si="1"/>
        <v>12.433931611850824</v>
      </c>
      <c r="D101" s="7"/>
      <c r="N101" s="2"/>
    </row>
    <row r="102" spans="1:14" x14ac:dyDescent="0.3">
      <c r="A102" s="14">
        <v>39142</v>
      </c>
      <c r="B102" s="13">
        <v>240.53386884821333</v>
      </c>
      <c r="C102" s="12">
        <f t="shared" si="1"/>
        <v>12.321596536781044</v>
      </c>
      <c r="D102" s="7"/>
      <c r="N102" s="2"/>
    </row>
    <row r="103" spans="1:14" x14ac:dyDescent="0.3">
      <c r="A103" s="14">
        <v>39173</v>
      </c>
      <c r="B103" s="13">
        <v>244.33007066946973</v>
      </c>
      <c r="C103" s="12">
        <f t="shared" si="1"/>
        <v>13.682879043947317</v>
      </c>
      <c r="D103" s="7"/>
      <c r="N103" s="2"/>
    </row>
    <row r="104" spans="1:14" x14ac:dyDescent="0.3">
      <c r="A104" s="14">
        <v>39203</v>
      </c>
      <c r="B104" s="13">
        <v>243.53629872899899</v>
      </c>
      <c r="C104" s="12">
        <f t="shared" si="1"/>
        <v>13.212036909216952</v>
      </c>
      <c r="D104" s="7"/>
      <c r="N104" s="2"/>
    </row>
    <row r="105" spans="1:14" x14ac:dyDescent="0.3">
      <c r="A105" s="14">
        <v>39234</v>
      </c>
      <c r="B105" s="13">
        <v>247.68417884075851</v>
      </c>
      <c r="C105" s="12">
        <f t="shared" si="1"/>
        <v>12.007495634593312</v>
      </c>
      <c r="D105" s="7"/>
      <c r="N105" s="2"/>
    </row>
    <row r="106" spans="1:14" x14ac:dyDescent="0.3">
      <c r="A106" s="14">
        <v>39264</v>
      </c>
      <c r="B106" s="13">
        <v>249.55623764427099</v>
      </c>
      <c r="C106" s="12">
        <f t="shared" si="1"/>
        <v>12.947600143752069</v>
      </c>
      <c r="D106" s="7"/>
      <c r="N106" s="2"/>
    </row>
    <row r="107" spans="1:14" x14ac:dyDescent="0.3">
      <c r="A107" s="14">
        <v>39295</v>
      </c>
      <c r="B107" s="13">
        <v>252.07421555309259</v>
      </c>
      <c r="C107" s="12">
        <f t="shared" si="1"/>
        <v>12.73536469348937</v>
      </c>
      <c r="D107" s="7"/>
      <c r="N107" s="2"/>
    </row>
    <row r="108" spans="1:14" x14ac:dyDescent="0.3">
      <c r="A108" s="14">
        <v>39326</v>
      </c>
      <c r="B108" s="13">
        <v>255.83491038485766</v>
      </c>
      <c r="C108" s="12">
        <f t="shared" si="1"/>
        <v>14.786348260697224</v>
      </c>
      <c r="D108" s="7"/>
      <c r="N108" s="2"/>
    </row>
    <row r="109" spans="1:14" x14ac:dyDescent="0.3">
      <c r="A109" s="14">
        <v>39356</v>
      </c>
      <c r="B109" s="13">
        <v>260.31817701644763</v>
      </c>
      <c r="C109" s="12">
        <f t="shared" si="1"/>
        <v>14.545793902960158</v>
      </c>
      <c r="D109" s="7"/>
      <c r="N109" s="2"/>
    </row>
    <row r="110" spans="1:14" x14ac:dyDescent="0.3">
      <c r="A110" s="14">
        <v>39387</v>
      </c>
      <c r="B110" s="13">
        <v>266.80301068505986</v>
      </c>
      <c r="C110" s="12">
        <f t="shared" si="1"/>
        <v>15.31208432226865</v>
      </c>
      <c r="D110" s="7"/>
      <c r="N110" s="2"/>
    </row>
    <row r="111" spans="1:14" x14ac:dyDescent="0.3">
      <c r="A111" s="14">
        <v>39417</v>
      </c>
      <c r="B111" s="13">
        <v>268.36650977860984</v>
      </c>
      <c r="C111" s="12">
        <f t="shared" si="1"/>
        <v>13.902576618812269</v>
      </c>
      <c r="D111" s="7"/>
      <c r="N111" s="2"/>
    </row>
    <row r="112" spans="1:14" x14ac:dyDescent="0.3">
      <c r="A112" s="14">
        <v>39448</v>
      </c>
      <c r="B112" s="13">
        <v>269.0480862450932</v>
      </c>
      <c r="C112" s="12">
        <f t="shared" si="1"/>
        <v>15.573549609042248</v>
      </c>
      <c r="D112" s="7"/>
      <c r="N112" s="2"/>
    </row>
    <row r="113" spans="1:14" x14ac:dyDescent="0.3">
      <c r="A113" s="14">
        <v>39479</v>
      </c>
      <c r="B113" s="13">
        <v>267.36630236281871</v>
      </c>
      <c r="C113" s="12">
        <f t="shared" si="1"/>
        <v>11.820563387072935</v>
      </c>
      <c r="D113" s="7"/>
      <c r="N113" s="2"/>
    </row>
    <row r="114" spans="1:14" x14ac:dyDescent="0.3">
      <c r="A114" s="14">
        <v>39508</v>
      </c>
      <c r="B114" s="13">
        <v>266.34211587445628</v>
      </c>
      <c r="C114" s="12">
        <f t="shared" si="1"/>
        <v>10.729568833621927</v>
      </c>
      <c r="D114" s="7"/>
      <c r="N114" s="2"/>
    </row>
    <row r="115" spans="1:14" x14ac:dyDescent="0.3">
      <c r="A115" s="14">
        <v>39539</v>
      </c>
      <c r="B115" s="13">
        <v>271.21509391975434</v>
      </c>
      <c r="C115" s="12">
        <f t="shared" si="1"/>
        <v>11.003567091279054</v>
      </c>
      <c r="D115" s="7"/>
      <c r="N115" s="2"/>
    </row>
    <row r="116" spans="1:14" x14ac:dyDescent="0.3">
      <c r="A116" s="14">
        <v>39569</v>
      </c>
      <c r="B116" s="13">
        <v>270.01942732902211</v>
      </c>
      <c r="C116" s="12">
        <f t="shared" si="1"/>
        <v>10.874407116408079</v>
      </c>
      <c r="D116" s="7"/>
      <c r="N116" s="2"/>
    </row>
    <row r="117" spans="1:14" x14ac:dyDescent="0.3">
      <c r="A117" s="14">
        <v>39600</v>
      </c>
      <c r="B117" s="13">
        <v>276.04457982841183</v>
      </c>
      <c r="C117" s="12">
        <f t="shared" si="1"/>
        <v>11.450227107919897</v>
      </c>
      <c r="D117" s="7"/>
      <c r="N117" s="2"/>
    </row>
    <row r="118" spans="1:14" x14ac:dyDescent="0.3">
      <c r="A118" s="14">
        <v>39630</v>
      </c>
      <c r="B118" s="13">
        <v>275.23238567502739</v>
      </c>
      <c r="C118" s="12">
        <f t="shared" si="1"/>
        <v>10.288722202711021</v>
      </c>
      <c r="D118" s="7"/>
      <c r="N118" s="2"/>
    </row>
    <row r="119" spans="1:14" x14ac:dyDescent="0.3">
      <c r="A119" s="14">
        <v>39661</v>
      </c>
      <c r="B119" s="13">
        <v>278.6060506040418</v>
      </c>
      <c r="C119" s="12">
        <f t="shared" si="1"/>
        <v>10.525406175611396</v>
      </c>
      <c r="D119" s="7"/>
      <c r="N119" s="2"/>
    </row>
    <row r="120" spans="1:14" x14ac:dyDescent="0.3">
      <c r="A120" s="14">
        <v>39692</v>
      </c>
      <c r="B120" s="13">
        <v>284.37701172377456</v>
      </c>
      <c r="C120" s="12">
        <f t="shared" si="1"/>
        <v>11.156452923481176</v>
      </c>
      <c r="D120" s="7"/>
      <c r="N120" s="2"/>
    </row>
    <row r="121" spans="1:14" x14ac:dyDescent="0.3">
      <c r="A121" s="14">
        <v>39722</v>
      </c>
      <c r="B121" s="13">
        <v>288.21411159405648</v>
      </c>
      <c r="C121" s="12">
        <f t="shared" si="1"/>
        <v>10.716091706437503</v>
      </c>
      <c r="D121" s="7"/>
      <c r="N121" s="2"/>
    </row>
    <row r="122" spans="1:14" x14ac:dyDescent="0.3">
      <c r="A122" s="14">
        <v>39753</v>
      </c>
      <c r="B122" s="13">
        <v>295.88193353791155</v>
      </c>
      <c r="C122" s="12">
        <f t="shared" si="1"/>
        <v>10.899023507338557</v>
      </c>
      <c r="D122" s="7"/>
      <c r="N122" s="2"/>
    </row>
    <row r="123" spans="1:14" x14ac:dyDescent="0.3">
      <c r="A123" s="14">
        <v>39783</v>
      </c>
      <c r="B123" s="13">
        <v>297.37498779907736</v>
      </c>
      <c r="C123" s="12">
        <f t="shared" si="1"/>
        <v>10.809276479542174</v>
      </c>
      <c r="D123" s="7"/>
      <c r="N123" s="2"/>
    </row>
    <row r="124" spans="1:14" x14ac:dyDescent="0.3">
      <c r="A124" s="14">
        <v>39814</v>
      </c>
      <c r="B124" s="13">
        <v>301.89452682251465</v>
      </c>
      <c r="C124" s="12">
        <f t="shared" si="1"/>
        <v>12.208390342349261</v>
      </c>
      <c r="D124" s="7"/>
      <c r="N124" s="2"/>
    </row>
    <row r="125" spans="1:14" x14ac:dyDescent="0.3">
      <c r="A125" s="14">
        <v>39845</v>
      </c>
      <c r="B125" s="13">
        <v>302.7610108009049</v>
      </c>
      <c r="C125" s="12">
        <f t="shared" si="1"/>
        <v>13.238283256075857</v>
      </c>
      <c r="D125" s="7"/>
      <c r="N125" s="2"/>
    </row>
    <row r="126" spans="1:14" x14ac:dyDescent="0.3">
      <c r="A126" s="14">
        <v>39873</v>
      </c>
      <c r="B126" s="13">
        <v>300.61276104756092</v>
      </c>
      <c r="C126" s="12">
        <f t="shared" si="1"/>
        <v>12.867152106450398</v>
      </c>
      <c r="D126" s="7"/>
      <c r="N126" s="2"/>
    </row>
    <row r="127" spans="1:14" x14ac:dyDescent="0.3">
      <c r="A127" s="14">
        <v>39904</v>
      </c>
      <c r="B127" s="13">
        <v>301.36485903347545</v>
      </c>
      <c r="C127" s="12">
        <f t="shared" si="1"/>
        <v>11.116551323888224</v>
      </c>
      <c r="D127" s="7"/>
      <c r="N127" s="2"/>
    </row>
    <row r="128" spans="1:14" x14ac:dyDescent="0.3">
      <c r="A128" s="14">
        <v>39934</v>
      </c>
      <c r="B128" s="13">
        <v>301.09447832277095</v>
      </c>
      <c r="C128" s="12">
        <f t="shared" si="1"/>
        <v>11.508450077513688</v>
      </c>
      <c r="D128" s="7"/>
      <c r="N128" s="2"/>
    </row>
    <row r="129" spans="1:14" x14ac:dyDescent="0.3">
      <c r="A129" s="14">
        <v>39965</v>
      </c>
      <c r="B129" s="13">
        <v>305.91145568336736</v>
      </c>
      <c r="C129" s="12">
        <f t="shared" si="1"/>
        <v>10.819584240168979</v>
      </c>
      <c r="D129" s="7"/>
      <c r="N129" s="2"/>
    </row>
    <row r="130" spans="1:14" x14ac:dyDescent="0.3">
      <c r="A130" s="14">
        <v>39995</v>
      </c>
      <c r="B130" s="13">
        <v>304.19346445827614</v>
      </c>
      <c r="C130" s="12">
        <f t="shared" si="1"/>
        <v>10.522409531211085</v>
      </c>
      <c r="D130" s="7"/>
      <c r="N130" s="2"/>
    </row>
    <row r="131" spans="1:14" x14ac:dyDescent="0.3">
      <c r="A131" s="14">
        <v>40026</v>
      </c>
      <c r="B131" s="13">
        <v>304.56771362716506</v>
      </c>
      <c r="C131" s="12">
        <f t="shared" si="1"/>
        <v>9.3184132099199513</v>
      </c>
      <c r="D131" s="7"/>
      <c r="N131" s="2"/>
    </row>
    <row r="132" spans="1:14" x14ac:dyDescent="0.3">
      <c r="A132" s="14">
        <v>40057</v>
      </c>
      <c r="B132" s="13">
        <v>304.27837908513038</v>
      </c>
      <c r="C132" s="12">
        <f t="shared" si="1"/>
        <v>6.9982335213110369</v>
      </c>
      <c r="D132" s="7"/>
      <c r="N132" s="2"/>
    </row>
    <row r="133" spans="1:14" x14ac:dyDescent="0.3">
      <c r="A133" s="14">
        <v>40087</v>
      </c>
      <c r="B133" s="13">
        <v>310.18732037207627</v>
      </c>
      <c r="C133" s="12">
        <f t="shared" si="1"/>
        <v>7.6239184321996722</v>
      </c>
      <c r="D133" s="7"/>
      <c r="N133" s="2"/>
    </row>
    <row r="134" spans="1:14" x14ac:dyDescent="0.3">
      <c r="A134" s="14">
        <v>40118</v>
      </c>
      <c r="B134" s="13">
        <v>315.4109203264984</v>
      </c>
      <c r="C134" s="12">
        <f t="shared" si="1"/>
        <v>6.60026333986512</v>
      </c>
      <c r="D134" s="7"/>
      <c r="N134" s="2"/>
    </row>
    <row r="135" spans="1:14" x14ac:dyDescent="0.3">
      <c r="A135" s="14">
        <v>40148</v>
      </c>
      <c r="B135" s="13">
        <v>314.49302822619904</v>
      </c>
      <c r="C135" s="12">
        <f t="shared" si="1"/>
        <v>5.7563820527796183</v>
      </c>
      <c r="D135" s="7"/>
      <c r="N135" s="2"/>
    </row>
    <row r="136" spans="1:14" x14ac:dyDescent="0.3">
      <c r="A136" s="14">
        <v>40179</v>
      </c>
      <c r="B136" s="13">
        <v>317.84350206825036</v>
      </c>
      <c r="C136" s="12">
        <f t="shared" si="1"/>
        <v>5.2829627001194979</v>
      </c>
      <c r="D136" s="7"/>
      <c r="N136" s="2"/>
    </row>
    <row r="137" spans="1:14" x14ac:dyDescent="0.3">
      <c r="A137" s="14">
        <v>40210</v>
      </c>
      <c r="B137" s="13">
        <v>317.06163421363851</v>
      </c>
      <c r="C137" s="12">
        <f t="shared" si="1"/>
        <v>4.7234032463108866</v>
      </c>
      <c r="D137" s="7"/>
      <c r="N137" s="2"/>
    </row>
    <row r="138" spans="1:14" x14ac:dyDescent="0.3">
      <c r="A138" s="14">
        <v>40238</v>
      </c>
      <c r="B138" s="13">
        <v>316.36519782929315</v>
      </c>
      <c r="C138" s="12">
        <f t="shared" si="1"/>
        <v>5.2401091446813153</v>
      </c>
      <c r="D138" s="7"/>
      <c r="N138" s="2"/>
    </row>
    <row r="139" spans="1:14" x14ac:dyDescent="0.3">
      <c r="A139" s="14">
        <v>40269</v>
      </c>
      <c r="B139" s="13">
        <v>319.22043993982481</v>
      </c>
      <c r="C139" s="12">
        <f t="shared" si="1"/>
        <v>5.9249047694595269</v>
      </c>
      <c r="D139" s="7"/>
      <c r="N139" s="2"/>
    </row>
    <row r="140" spans="1:14" x14ac:dyDescent="0.3">
      <c r="A140" s="14">
        <v>40299</v>
      </c>
      <c r="B140" s="13">
        <v>315.16928818158289</v>
      </c>
      <c r="C140" s="12">
        <f t="shared" si="1"/>
        <v>4.6745493099756619</v>
      </c>
      <c r="D140" s="7"/>
      <c r="N140" s="2"/>
    </row>
    <row r="141" spans="1:14" x14ac:dyDescent="0.3">
      <c r="A141" s="14">
        <v>40330</v>
      </c>
      <c r="B141" s="13">
        <v>324.45056071364803</v>
      </c>
      <c r="C141" s="12">
        <f t="shared" si="1"/>
        <v>6.0602846627193729</v>
      </c>
      <c r="D141" s="7"/>
      <c r="N141" s="2"/>
    </row>
    <row r="142" spans="1:14" x14ac:dyDescent="0.3">
      <c r="A142" s="14">
        <v>40360</v>
      </c>
      <c r="B142" s="13">
        <v>328.15414276864675</v>
      </c>
      <c r="C142" s="12">
        <f t="shared" si="1"/>
        <v>7.8767893166413305</v>
      </c>
      <c r="D142" s="7"/>
      <c r="N142" s="2"/>
    </row>
    <row r="143" spans="1:14" x14ac:dyDescent="0.3">
      <c r="A143" s="14">
        <v>40391</v>
      </c>
      <c r="B143" s="13">
        <v>331.80031680448064</v>
      </c>
      <c r="C143" s="12">
        <f t="shared" ref="C143:C206" si="2">(+B143/B131-1)*100</f>
        <v>8.9413952821841836</v>
      </c>
      <c r="D143" s="7"/>
      <c r="N143" s="2"/>
    </row>
    <row r="144" spans="1:14" x14ac:dyDescent="0.3">
      <c r="A144" s="14">
        <v>40422</v>
      </c>
      <c r="B144" s="13">
        <v>336.42852830037646</v>
      </c>
      <c r="C144" s="12">
        <f t="shared" si="2"/>
        <v>10.566031445254676</v>
      </c>
      <c r="D144" s="7"/>
      <c r="N144" s="2"/>
    </row>
    <row r="145" spans="1:14" x14ac:dyDescent="0.3">
      <c r="A145" s="14">
        <v>40452</v>
      </c>
      <c r="B145" s="13">
        <v>342.68831193935711</v>
      </c>
      <c r="C145" s="12">
        <f t="shared" si="2"/>
        <v>10.477859484486739</v>
      </c>
      <c r="D145" s="7"/>
      <c r="N145" s="2"/>
    </row>
    <row r="146" spans="1:14" x14ac:dyDescent="0.3">
      <c r="A146" s="14">
        <v>40483</v>
      </c>
      <c r="B146" s="13">
        <v>347.56916226754032</v>
      </c>
      <c r="C146" s="12">
        <f t="shared" si="2"/>
        <v>10.19566535862273</v>
      </c>
      <c r="D146" s="7"/>
      <c r="N146" s="2"/>
    </row>
    <row r="147" spans="1:14" x14ac:dyDescent="0.3">
      <c r="A147" s="14">
        <v>40513</v>
      </c>
      <c r="B147" s="13">
        <v>351.99349363403286</v>
      </c>
      <c r="C147" s="12">
        <f t="shared" si="2"/>
        <v>11.924100708795882</v>
      </c>
      <c r="D147" s="7"/>
      <c r="N147" s="2"/>
    </row>
    <row r="148" spans="1:14" x14ac:dyDescent="0.3">
      <c r="A148" s="14">
        <v>40544</v>
      </c>
      <c r="B148" s="13">
        <v>356.26282282864867</v>
      </c>
      <c r="C148" s="12">
        <f t="shared" si="2"/>
        <v>12.087496050854774</v>
      </c>
      <c r="D148" s="7"/>
      <c r="N148" s="2"/>
    </row>
    <row r="149" spans="1:14" x14ac:dyDescent="0.3">
      <c r="A149" s="14">
        <v>40575</v>
      </c>
      <c r="B149" s="13">
        <v>360.57738113577898</v>
      </c>
      <c r="C149" s="12">
        <f t="shared" si="2"/>
        <v>13.724696471102904</v>
      </c>
      <c r="D149" s="7"/>
      <c r="N149" s="2"/>
    </row>
    <row r="150" spans="1:14" x14ac:dyDescent="0.3">
      <c r="A150" s="14">
        <v>40603</v>
      </c>
      <c r="B150" s="13">
        <v>366.97423647190368</v>
      </c>
      <c r="C150" s="12">
        <f t="shared" si="2"/>
        <v>15.997030959745008</v>
      </c>
      <c r="D150" s="7"/>
      <c r="N150" s="2"/>
    </row>
    <row r="151" spans="1:14" x14ac:dyDescent="0.3">
      <c r="A151" s="14">
        <v>40634</v>
      </c>
      <c r="B151" s="13">
        <v>368.44450974533703</v>
      </c>
      <c r="C151" s="12">
        <f t="shared" si="2"/>
        <v>15.420087076752132</v>
      </c>
      <c r="D151" s="7"/>
      <c r="N151" s="2"/>
    </row>
    <row r="152" spans="1:14" x14ac:dyDescent="0.3">
      <c r="A152" s="14">
        <v>40664</v>
      </c>
      <c r="B152" s="13">
        <v>369.86594314712767</v>
      </c>
      <c r="C152" s="12">
        <f t="shared" si="2"/>
        <v>17.354690642963799</v>
      </c>
      <c r="D152" s="7"/>
      <c r="N152" s="2"/>
    </row>
    <row r="153" spans="1:14" x14ac:dyDescent="0.3">
      <c r="A153" s="14">
        <v>40695</v>
      </c>
      <c r="B153" s="13">
        <v>377.37566490121026</v>
      </c>
      <c r="C153" s="12">
        <f t="shared" si="2"/>
        <v>16.31222460246342</v>
      </c>
      <c r="D153" s="7"/>
      <c r="N153" s="2"/>
    </row>
    <row r="154" spans="1:14" x14ac:dyDescent="0.3">
      <c r="A154" s="14">
        <v>40725</v>
      </c>
      <c r="B154" s="13">
        <v>378.60696663375614</v>
      </c>
      <c r="C154" s="12">
        <f t="shared" si="2"/>
        <v>15.374733178571919</v>
      </c>
      <c r="D154" s="7"/>
      <c r="N154" s="2"/>
    </row>
    <row r="155" spans="1:14" x14ac:dyDescent="0.3">
      <c r="A155" s="14">
        <v>40756</v>
      </c>
      <c r="B155" s="13">
        <v>388.15877001560079</v>
      </c>
      <c r="C155" s="12">
        <f t="shared" si="2"/>
        <v>16.985653827549065</v>
      </c>
      <c r="D155" s="7"/>
      <c r="N155" s="2"/>
    </row>
    <row r="156" spans="1:14" x14ac:dyDescent="0.3">
      <c r="A156" s="14">
        <v>40787</v>
      </c>
      <c r="B156" s="13">
        <v>394.46372929620651</v>
      </c>
      <c r="C156" s="12">
        <f t="shared" si="2"/>
        <v>17.250380426719936</v>
      </c>
      <c r="D156" s="7"/>
      <c r="N156" s="2"/>
    </row>
    <row r="157" spans="1:14" x14ac:dyDescent="0.3">
      <c r="A157" s="14">
        <v>40817</v>
      </c>
      <c r="B157" s="13">
        <v>396.61097091315406</v>
      </c>
      <c r="C157" s="12">
        <f t="shared" si="2"/>
        <v>15.735190578469238</v>
      </c>
      <c r="D157" s="7"/>
      <c r="N157" s="2"/>
    </row>
    <row r="158" spans="1:14" x14ac:dyDescent="0.3">
      <c r="A158" s="14">
        <v>40848</v>
      </c>
      <c r="B158" s="13">
        <v>408.39013188535711</v>
      </c>
      <c r="C158" s="12">
        <f t="shared" si="2"/>
        <v>17.498954516281295</v>
      </c>
      <c r="D158" s="7"/>
      <c r="N158" s="2"/>
    </row>
    <row r="159" spans="1:14" x14ac:dyDescent="0.3">
      <c r="A159" s="14">
        <v>40878</v>
      </c>
      <c r="B159" s="13">
        <v>410.96360166891623</v>
      </c>
      <c r="C159" s="12">
        <f t="shared" si="2"/>
        <v>16.753181266524919</v>
      </c>
      <c r="D159" s="7"/>
      <c r="N159" s="2"/>
    </row>
    <row r="160" spans="1:14" x14ac:dyDescent="0.3">
      <c r="A160" s="14">
        <v>40909</v>
      </c>
      <c r="B160" s="13">
        <v>407.56902375129334</v>
      </c>
      <c r="C160" s="12">
        <f t="shared" si="2"/>
        <v>14.401222253639801</v>
      </c>
      <c r="D160" s="7"/>
      <c r="N160" s="2"/>
    </row>
    <row r="161" spans="1:14" x14ac:dyDescent="0.3">
      <c r="A161" s="14">
        <v>40940</v>
      </c>
      <c r="B161" s="13">
        <v>410.94323446559508</v>
      </c>
      <c r="C161" s="12">
        <f t="shared" si="2"/>
        <v>13.968112245745768</v>
      </c>
      <c r="D161" s="7"/>
      <c r="N161" s="2"/>
    </row>
    <row r="162" spans="1:14" x14ac:dyDescent="0.3">
      <c r="A162" s="14">
        <v>40969</v>
      </c>
      <c r="B162" s="13">
        <v>415.21495892155758</v>
      </c>
      <c r="C162" s="12">
        <f t="shared" si="2"/>
        <v>13.145533842768087</v>
      </c>
      <c r="D162" s="7"/>
      <c r="N162" s="2"/>
    </row>
    <row r="163" spans="1:14" x14ac:dyDescent="0.3">
      <c r="A163" s="14">
        <v>41000</v>
      </c>
      <c r="B163" s="13">
        <v>416.81770732357694</v>
      </c>
      <c r="C163" s="12">
        <f t="shared" si="2"/>
        <v>13.129031997701546</v>
      </c>
      <c r="D163" s="7"/>
      <c r="N163" s="2"/>
    </row>
    <row r="164" spans="1:14" x14ac:dyDescent="0.3">
      <c r="A164" s="14">
        <v>41030</v>
      </c>
      <c r="B164" s="13">
        <v>418.38971120416437</v>
      </c>
      <c r="C164" s="12">
        <f t="shared" si="2"/>
        <v>13.119285231875111</v>
      </c>
      <c r="D164" s="7"/>
      <c r="N164" s="2"/>
    </row>
    <row r="165" spans="1:14" x14ac:dyDescent="0.3">
      <c r="A165" s="14">
        <v>41061</v>
      </c>
      <c r="B165" s="13">
        <v>428.27425885937834</v>
      </c>
      <c r="C165" s="12">
        <f t="shared" si="2"/>
        <v>13.487513555356667</v>
      </c>
      <c r="D165" s="7"/>
      <c r="N165" s="2"/>
    </row>
    <row r="166" spans="1:14" x14ac:dyDescent="0.3">
      <c r="A166" s="14">
        <v>41091</v>
      </c>
      <c r="B166" s="13">
        <v>429.10353458753974</v>
      </c>
      <c r="C166" s="12">
        <f t="shared" si="2"/>
        <v>13.337464020473577</v>
      </c>
      <c r="D166" s="7"/>
      <c r="N166" s="2"/>
    </row>
    <row r="167" spans="1:14" x14ac:dyDescent="0.3">
      <c r="A167" s="14">
        <v>41122</v>
      </c>
      <c r="B167" s="13">
        <v>433.25080568900779</v>
      </c>
      <c r="C167" s="12">
        <f t="shared" si="2"/>
        <v>11.616905028732095</v>
      </c>
      <c r="D167" s="7"/>
      <c r="N167" s="2"/>
    </row>
    <row r="168" spans="1:14" x14ac:dyDescent="0.3">
      <c r="A168" s="14">
        <v>41153</v>
      </c>
      <c r="B168" s="13">
        <v>444.14206015671186</v>
      </c>
      <c r="C168" s="12">
        <f t="shared" si="2"/>
        <v>12.593890685245078</v>
      </c>
      <c r="D168" s="7"/>
      <c r="N168" s="2"/>
    </row>
    <row r="169" spans="1:14" x14ac:dyDescent="0.3">
      <c r="A169" s="14">
        <v>41183</v>
      </c>
      <c r="B169" s="13">
        <v>446.86539883077978</v>
      </c>
      <c r="C169" s="12">
        <f t="shared" si="2"/>
        <v>12.670962631699357</v>
      </c>
      <c r="D169" s="7"/>
      <c r="N169" s="2"/>
    </row>
    <row r="170" spans="1:14" x14ac:dyDescent="0.3">
      <c r="A170" s="14">
        <v>41214</v>
      </c>
      <c r="B170" s="13">
        <v>449.28608772288106</v>
      </c>
      <c r="C170" s="12">
        <f t="shared" si="2"/>
        <v>10.013943199049734</v>
      </c>
      <c r="D170" s="7"/>
      <c r="N170" s="2"/>
    </row>
    <row r="171" spans="1:14" x14ac:dyDescent="0.3">
      <c r="A171" s="14">
        <v>41244</v>
      </c>
      <c r="B171" s="13">
        <v>459.28521971045581</v>
      </c>
      <c r="C171" s="12">
        <f t="shared" si="2"/>
        <v>11.758125986171608</v>
      </c>
      <c r="D171" s="7"/>
      <c r="N171" s="2"/>
    </row>
    <row r="172" spans="1:14" x14ac:dyDescent="0.3">
      <c r="A172" s="14">
        <v>41275</v>
      </c>
      <c r="B172" s="13">
        <v>458.81846229000928</v>
      </c>
      <c r="C172" s="12">
        <f t="shared" si="2"/>
        <v>12.574419436249729</v>
      </c>
      <c r="D172" s="7"/>
      <c r="N172" s="2"/>
    </row>
    <row r="173" spans="1:14" x14ac:dyDescent="0.3">
      <c r="A173" s="14">
        <v>41306</v>
      </c>
      <c r="B173" s="13">
        <v>461.97912524827706</v>
      </c>
      <c r="C173" s="12">
        <f t="shared" si="2"/>
        <v>12.419206961528605</v>
      </c>
      <c r="D173" s="7">
        <f t="shared" ref="D173:D204" si="3">AVERAGE($C$173:$C$232)</f>
        <v>7.0414822862438307</v>
      </c>
      <c r="N173" s="2"/>
    </row>
    <row r="174" spans="1:14" x14ac:dyDescent="0.3">
      <c r="A174" s="14">
        <v>41334</v>
      </c>
      <c r="B174" s="13">
        <v>469.1978021371624</v>
      </c>
      <c r="C174" s="12">
        <f t="shared" si="2"/>
        <v>13.00117976380597</v>
      </c>
      <c r="D174" s="7">
        <f t="shared" si="3"/>
        <v>7.0414822862438307</v>
      </c>
      <c r="N174" s="2"/>
    </row>
    <row r="175" spans="1:14" x14ac:dyDescent="0.3">
      <c r="A175" s="14">
        <v>41365</v>
      </c>
      <c r="B175" s="13">
        <v>474.81645730078372</v>
      </c>
      <c r="C175" s="12">
        <f t="shared" si="2"/>
        <v>13.91465596546313</v>
      </c>
      <c r="D175" s="7">
        <f t="shared" si="3"/>
        <v>7.0414822862438307</v>
      </c>
      <c r="N175" s="2"/>
    </row>
    <row r="176" spans="1:14" x14ac:dyDescent="0.3">
      <c r="A176" s="14">
        <v>41395</v>
      </c>
      <c r="B176" s="13">
        <v>481.81952612301126</v>
      </c>
      <c r="C176" s="12">
        <f t="shared" si="2"/>
        <v>15.160462415839525</v>
      </c>
      <c r="D176" s="7">
        <f t="shared" si="3"/>
        <v>7.0414822862438307</v>
      </c>
      <c r="N176" s="2"/>
    </row>
    <row r="177" spans="1:14" x14ac:dyDescent="0.3">
      <c r="A177" s="14">
        <v>41426</v>
      </c>
      <c r="B177" s="13">
        <v>485.87363973103783</v>
      </c>
      <c r="C177" s="12">
        <f t="shared" si="2"/>
        <v>13.449181145059663</v>
      </c>
      <c r="D177" s="7">
        <f t="shared" si="3"/>
        <v>7.0414822862438307</v>
      </c>
      <c r="N177" s="2"/>
    </row>
    <row r="178" spans="1:14" x14ac:dyDescent="0.3">
      <c r="A178" s="14">
        <v>41456</v>
      </c>
      <c r="B178" s="13">
        <v>489.37849326235124</v>
      </c>
      <c r="C178" s="12">
        <f t="shared" si="2"/>
        <v>14.046716891472034</v>
      </c>
      <c r="D178" s="7">
        <f t="shared" si="3"/>
        <v>7.0414822862438307</v>
      </c>
      <c r="N178" s="2"/>
    </row>
    <row r="179" spans="1:14" x14ac:dyDescent="0.3">
      <c r="A179" s="14">
        <v>41487</v>
      </c>
      <c r="B179" s="13">
        <v>496.98781279825624</v>
      </c>
      <c r="C179" s="12">
        <f t="shared" si="2"/>
        <v>14.711341853799009</v>
      </c>
      <c r="D179" s="7">
        <f t="shared" si="3"/>
        <v>7.0414822862438307</v>
      </c>
      <c r="N179" s="2"/>
    </row>
    <row r="180" spans="1:14" x14ac:dyDescent="0.3">
      <c r="A180" s="14">
        <v>41518</v>
      </c>
      <c r="B180" s="13">
        <v>499.6181424589297</v>
      </c>
      <c r="C180" s="12">
        <f t="shared" si="2"/>
        <v>12.490616692020474</v>
      </c>
      <c r="D180" s="7">
        <f t="shared" si="3"/>
        <v>7.0414822862438307</v>
      </c>
      <c r="N180" s="2"/>
    </row>
    <row r="181" spans="1:14" x14ac:dyDescent="0.3">
      <c r="A181" s="14">
        <v>41548</v>
      </c>
      <c r="B181" s="13">
        <v>506.8022415201562</v>
      </c>
      <c r="C181" s="12">
        <f t="shared" si="2"/>
        <v>13.412728496366189</v>
      </c>
      <c r="D181" s="7">
        <f t="shared" si="3"/>
        <v>7.0414822862438307</v>
      </c>
      <c r="N181" s="2"/>
    </row>
    <row r="182" spans="1:14" x14ac:dyDescent="0.3">
      <c r="A182" s="14">
        <v>41579</v>
      </c>
      <c r="B182" s="13">
        <v>513.79228666561505</v>
      </c>
      <c r="C182" s="12">
        <f t="shared" si="2"/>
        <v>14.357488625937886</v>
      </c>
      <c r="D182" s="7">
        <f t="shared" si="3"/>
        <v>7.0414822862438307</v>
      </c>
      <c r="N182" s="2"/>
    </row>
    <row r="183" spans="1:14" x14ac:dyDescent="0.3">
      <c r="A183" s="14">
        <v>41609</v>
      </c>
      <c r="B183" s="13">
        <v>514.85411744733801</v>
      </c>
      <c r="C183" s="12">
        <f t="shared" si="2"/>
        <v>12.098995428573577</v>
      </c>
      <c r="D183" s="7">
        <f t="shared" si="3"/>
        <v>7.0414822862438307</v>
      </c>
      <c r="N183" s="2"/>
    </row>
    <row r="184" spans="1:14" x14ac:dyDescent="0.3">
      <c r="A184" s="14">
        <v>41640</v>
      </c>
      <c r="B184" s="13">
        <v>513.39835663501174</v>
      </c>
      <c r="C184" s="12">
        <f t="shared" si="2"/>
        <v>11.895749371677123</v>
      </c>
      <c r="D184" s="7">
        <f t="shared" si="3"/>
        <v>7.0414822862438307</v>
      </c>
      <c r="N184" s="2"/>
    </row>
    <row r="185" spans="1:14" x14ac:dyDescent="0.3">
      <c r="A185" s="14">
        <v>41671</v>
      </c>
      <c r="B185" s="13">
        <v>523.7058652958242</v>
      </c>
      <c r="C185" s="12">
        <f t="shared" si="2"/>
        <v>13.361369956786229</v>
      </c>
      <c r="D185" s="7">
        <f t="shared" si="3"/>
        <v>7.0414822862438307</v>
      </c>
      <c r="N185" s="2"/>
    </row>
    <row r="186" spans="1:14" x14ac:dyDescent="0.3">
      <c r="A186" s="14">
        <v>41699</v>
      </c>
      <c r="B186" s="13">
        <v>526.80990314537746</v>
      </c>
      <c r="C186" s="12">
        <f t="shared" si="2"/>
        <v>12.278851423812309</v>
      </c>
      <c r="D186" s="7">
        <f t="shared" si="3"/>
        <v>7.0414822862438307</v>
      </c>
      <c r="N186" s="2"/>
    </row>
    <row r="187" spans="1:14" x14ac:dyDescent="0.3">
      <c r="A187" s="14">
        <v>41730</v>
      </c>
      <c r="B187" s="13">
        <v>529.31185499020535</v>
      </c>
      <c r="C187" s="12">
        <f t="shared" si="2"/>
        <v>11.477150139069469</v>
      </c>
      <c r="D187" s="7">
        <f t="shared" si="3"/>
        <v>7.0414822862438307</v>
      </c>
      <c r="N187" s="2"/>
    </row>
    <row r="188" spans="1:14" x14ac:dyDescent="0.3">
      <c r="A188" s="14">
        <v>41760</v>
      </c>
      <c r="B188" s="13">
        <v>527.26584143372895</v>
      </c>
      <c r="C188" s="12">
        <f t="shared" si="2"/>
        <v>9.432227804548333</v>
      </c>
      <c r="D188" s="7">
        <f t="shared" si="3"/>
        <v>7.0414822862438307</v>
      </c>
      <c r="N188" s="2"/>
    </row>
    <row r="189" spans="1:14" x14ac:dyDescent="0.3">
      <c r="A189" s="14">
        <v>41791</v>
      </c>
      <c r="B189" s="13">
        <v>527.55921321418771</v>
      </c>
      <c r="C189" s="12">
        <f t="shared" si="2"/>
        <v>8.5795091716079686</v>
      </c>
      <c r="D189" s="7">
        <f t="shared" si="3"/>
        <v>7.0414822862438307</v>
      </c>
      <c r="N189" s="2"/>
    </row>
    <row r="190" spans="1:14" x14ac:dyDescent="0.3">
      <c r="A190" s="14">
        <v>41821</v>
      </c>
      <c r="B190" s="13">
        <v>528.70964665867461</v>
      </c>
      <c r="C190" s="12">
        <f t="shared" si="2"/>
        <v>8.0369599273007566</v>
      </c>
      <c r="D190" s="7">
        <f t="shared" si="3"/>
        <v>7.0414822862438307</v>
      </c>
      <c r="N190" s="2"/>
    </row>
    <row r="191" spans="1:14" x14ac:dyDescent="0.3">
      <c r="A191" s="14">
        <v>41852</v>
      </c>
      <c r="B191" s="13">
        <v>536.41992618580366</v>
      </c>
      <c r="C191" s="12">
        <f t="shared" si="2"/>
        <v>7.9342213978100595</v>
      </c>
      <c r="D191" s="7">
        <f t="shared" si="3"/>
        <v>7.0414822862438307</v>
      </c>
      <c r="N191" s="2"/>
    </row>
    <row r="192" spans="1:14" x14ac:dyDescent="0.3">
      <c r="A192" s="14">
        <v>41883</v>
      </c>
      <c r="B192" s="13">
        <v>537.75168243675682</v>
      </c>
      <c r="C192" s="12">
        <f t="shared" si="2"/>
        <v>7.6325370792478475</v>
      </c>
      <c r="D192" s="7">
        <f t="shared" si="3"/>
        <v>7.0414822862438307</v>
      </c>
      <c r="N192" s="2"/>
    </row>
    <row r="193" spans="1:14" x14ac:dyDescent="0.3">
      <c r="A193" s="14">
        <v>41913</v>
      </c>
      <c r="B193" s="13">
        <v>544.21844223626101</v>
      </c>
      <c r="C193" s="12">
        <f t="shared" si="2"/>
        <v>7.3828009528676741</v>
      </c>
      <c r="D193" s="7">
        <f t="shared" si="3"/>
        <v>7.0414822862438307</v>
      </c>
      <c r="N193" s="2"/>
    </row>
    <row r="194" spans="1:14" x14ac:dyDescent="0.3">
      <c r="A194" s="14">
        <v>41944</v>
      </c>
      <c r="B194" s="13">
        <v>559.91915020849024</v>
      </c>
      <c r="C194" s="12">
        <f t="shared" si="2"/>
        <v>8.9777259682559887</v>
      </c>
      <c r="D194" s="7">
        <f t="shared" si="3"/>
        <v>7.0414822862438307</v>
      </c>
      <c r="N194" s="2"/>
    </row>
    <row r="195" spans="1:14" x14ac:dyDescent="0.3">
      <c r="A195" s="14">
        <v>41974</v>
      </c>
      <c r="B195" s="13">
        <v>560.48867894863588</v>
      </c>
      <c r="C195" s="12">
        <f t="shared" si="2"/>
        <v>8.863590666722331</v>
      </c>
      <c r="D195" s="7">
        <f t="shared" si="3"/>
        <v>7.0414822862438307</v>
      </c>
      <c r="N195" s="2"/>
    </row>
    <row r="196" spans="1:14" x14ac:dyDescent="0.3">
      <c r="A196" s="14">
        <v>42005</v>
      </c>
      <c r="B196" s="13">
        <v>567.7908821962186</v>
      </c>
      <c r="C196" s="12">
        <f t="shared" si="2"/>
        <v>10.59460453237795</v>
      </c>
      <c r="D196" s="7">
        <f t="shared" si="3"/>
        <v>7.0414822862438307</v>
      </c>
      <c r="N196" s="2"/>
    </row>
    <row r="197" spans="1:14" x14ac:dyDescent="0.3">
      <c r="A197" s="14">
        <v>42036</v>
      </c>
      <c r="B197" s="13">
        <v>573.78991569680659</v>
      </c>
      <c r="C197" s="12">
        <f t="shared" si="2"/>
        <v>9.5633930646721979</v>
      </c>
      <c r="D197" s="7">
        <f t="shared" si="3"/>
        <v>7.0414822862438307</v>
      </c>
      <c r="N197" s="2"/>
    </row>
    <row r="198" spans="1:14" x14ac:dyDescent="0.3">
      <c r="A198" s="14">
        <v>42064</v>
      </c>
      <c r="B198" s="13">
        <v>577.96567228072388</v>
      </c>
      <c r="C198" s="12">
        <f t="shared" si="2"/>
        <v>9.7104797821595987</v>
      </c>
      <c r="D198" s="7">
        <f t="shared" si="3"/>
        <v>7.0414822862438307</v>
      </c>
      <c r="N198" s="2"/>
    </row>
    <row r="199" spans="1:14" x14ac:dyDescent="0.3">
      <c r="A199" s="14">
        <v>42095</v>
      </c>
      <c r="B199" s="13">
        <v>578.92283539421533</v>
      </c>
      <c r="C199" s="12">
        <f t="shared" si="2"/>
        <v>9.3727317716940206</v>
      </c>
      <c r="D199" s="7">
        <f t="shared" si="3"/>
        <v>7.0414822862438307</v>
      </c>
      <c r="N199" s="2"/>
    </row>
    <row r="200" spans="1:14" x14ac:dyDescent="0.3">
      <c r="A200" s="14">
        <v>42125</v>
      </c>
      <c r="B200" s="13">
        <v>578.51652391448704</v>
      </c>
      <c r="C200" s="12">
        <f t="shared" si="2"/>
        <v>9.7200839601895073</v>
      </c>
      <c r="D200" s="7">
        <f t="shared" si="3"/>
        <v>7.0414822862438307</v>
      </c>
      <c r="N200" s="2"/>
    </row>
    <row r="201" spans="1:14" x14ac:dyDescent="0.3">
      <c r="A201" s="14">
        <v>42156</v>
      </c>
      <c r="B201" s="13">
        <v>581.30054736983857</v>
      </c>
      <c r="C201" s="12">
        <f t="shared" si="2"/>
        <v>10.186787152901445</v>
      </c>
      <c r="D201" s="7">
        <f t="shared" si="3"/>
        <v>7.0414822862438307</v>
      </c>
      <c r="N201" s="2"/>
    </row>
    <row r="202" spans="1:14" x14ac:dyDescent="0.3">
      <c r="A202" s="14">
        <v>42186</v>
      </c>
      <c r="B202" s="13">
        <v>591.74425925277774</v>
      </c>
      <c r="C202" s="12">
        <f t="shared" si="2"/>
        <v>11.92234962847143</v>
      </c>
      <c r="D202" s="7">
        <f t="shared" si="3"/>
        <v>7.0414822862438307</v>
      </c>
      <c r="N202" s="2"/>
    </row>
    <row r="203" spans="1:14" x14ac:dyDescent="0.3">
      <c r="A203" s="14">
        <v>42217</v>
      </c>
      <c r="B203" s="13">
        <v>605.18184587639723</v>
      </c>
      <c r="C203" s="12">
        <f t="shared" si="2"/>
        <v>12.818673642406054</v>
      </c>
      <c r="D203" s="7">
        <f t="shared" si="3"/>
        <v>7.0414822862438307</v>
      </c>
      <c r="N203" s="2"/>
    </row>
    <row r="204" spans="1:14" x14ac:dyDescent="0.3">
      <c r="A204" s="14">
        <v>42248</v>
      </c>
      <c r="B204" s="13">
        <v>602.54618562254905</v>
      </c>
      <c r="C204" s="12">
        <f t="shared" si="2"/>
        <v>12.049149319660657</v>
      </c>
      <c r="D204" s="7">
        <f t="shared" si="3"/>
        <v>7.0414822862438307</v>
      </c>
      <c r="N204" s="2"/>
    </row>
    <row r="205" spans="1:14" x14ac:dyDescent="0.3">
      <c r="A205" s="14">
        <v>42278</v>
      </c>
      <c r="B205" s="13">
        <v>604.30666201038912</v>
      </c>
      <c r="C205" s="12">
        <f t="shared" si="2"/>
        <v>11.041195062632969</v>
      </c>
      <c r="D205" s="7">
        <f t="shared" ref="D205:D232" si="4">AVERAGE($C$173:$C$232)</f>
        <v>7.0414822862438307</v>
      </c>
      <c r="N205" s="2"/>
    </row>
    <row r="206" spans="1:14" x14ac:dyDescent="0.3">
      <c r="A206" s="14">
        <v>42309</v>
      </c>
      <c r="B206" s="13">
        <v>609.79335677236872</v>
      </c>
      <c r="C206" s="12">
        <f t="shared" si="2"/>
        <v>8.9073943167165215</v>
      </c>
      <c r="D206" s="7">
        <f t="shared" si="4"/>
        <v>7.0414822862438307</v>
      </c>
      <c r="N206" s="2"/>
    </row>
    <row r="207" spans="1:14" x14ac:dyDescent="0.3">
      <c r="A207" s="14">
        <v>42339</v>
      </c>
      <c r="B207" s="13">
        <v>610.00612253542852</v>
      </c>
      <c r="C207" s="12">
        <f t="shared" ref="C207:C232" si="5">(+B207/B195-1)*100</f>
        <v>8.8346911269782336</v>
      </c>
      <c r="D207" s="7">
        <f t="shared" si="4"/>
        <v>7.0414822862438307</v>
      </c>
      <c r="E207" s="8"/>
      <c r="N207" s="2"/>
    </row>
    <row r="208" spans="1:14" x14ac:dyDescent="0.3">
      <c r="A208" s="14">
        <v>42370</v>
      </c>
      <c r="B208" s="13">
        <v>608.21171429677486</v>
      </c>
      <c r="C208" s="12">
        <f t="shared" si="5"/>
        <v>7.1189646343400526</v>
      </c>
      <c r="D208" s="7">
        <f t="shared" si="4"/>
        <v>7.0414822862438307</v>
      </c>
      <c r="N208" s="2"/>
    </row>
    <row r="209" spans="1:14" x14ac:dyDescent="0.3">
      <c r="A209" s="14">
        <v>42401</v>
      </c>
      <c r="B209" s="13">
        <v>612.90730291528553</v>
      </c>
      <c r="C209" s="12">
        <f t="shared" si="5"/>
        <v>6.8173709834155938</v>
      </c>
      <c r="D209" s="7">
        <f t="shared" si="4"/>
        <v>7.0414822862438307</v>
      </c>
      <c r="N209" s="2"/>
    </row>
    <row r="210" spans="1:14" x14ac:dyDescent="0.3">
      <c r="A210" s="14">
        <v>42430</v>
      </c>
      <c r="B210" s="13">
        <v>609.3423292152097</v>
      </c>
      <c r="C210" s="12">
        <f t="shared" si="5"/>
        <v>5.4288097787312584</v>
      </c>
      <c r="D210" s="7">
        <f t="shared" si="4"/>
        <v>7.0414822862438307</v>
      </c>
      <c r="N210" s="2"/>
    </row>
    <row r="211" spans="1:14" x14ac:dyDescent="0.3">
      <c r="A211" s="14">
        <v>42461</v>
      </c>
      <c r="B211" s="13">
        <v>612.61129457959771</v>
      </c>
      <c r="C211" s="12">
        <f t="shared" si="5"/>
        <v>5.8191622658039233</v>
      </c>
      <c r="D211" s="7">
        <f t="shared" si="4"/>
        <v>7.0414822862438307</v>
      </c>
      <c r="N211" s="2"/>
    </row>
    <row r="212" spans="1:14" x14ac:dyDescent="0.3">
      <c r="A212" s="14">
        <v>42491</v>
      </c>
      <c r="B212" s="13">
        <v>612.68912455750387</v>
      </c>
      <c r="C212" s="12">
        <f t="shared" si="5"/>
        <v>5.9069359699167379</v>
      </c>
      <c r="D212" s="7">
        <f t="shared" si="4"/>
        <v>7.0414822862438307</v>
      </c>
      <c r="N212" s="2"/>
    </row>
    <row r="213" spans="1:14" x14ac:dyDescent="0.3">
      <c r="A213" s="14">
        <v>42522</v>
      </c>
      <c r="B213" s="13">
        <v>604.54313526662077</v>
      </c>
      <c r="C213" s="12">
        <f t="shared" si="5"/>
        <v>3.998377087712357</v>
      </c>
      <c r="D213" s="7">
        <f t="shared" si="4"/>
        <v>7.0414822862438307</v>
      </c>
      <c r="N213" s="2"/>
    </row>
    <row r="214" spans="1:14" x14ac:dyDescent="0.3">
      <c r="A214" s="14">
        <v>42552</v>
      </c>
      <c r="B214" s="13">
        <v>604.96800434137481</v>
      </c>
      <c r="C214" s="12">
        <f t="shared" si="5"/>
        <v>2.2347061051839034</v>
      </c>
      <c r="D214" s="7">
        <f t="shared" si="4"/>
        <v>7.0414822862438307</v>
      </c>
      <c r="N214" s="2"/>
    </row>
    <row r="215" spans="1:14" x14ac:dyDescent="0.3">
      <c r="A215" s="14">
        <v>42583</v>
      </c>
      <c r="B215" s="13">
        <v>606.80663261525513</v>
      </c>
      <c r="C215" s="12">
        <f t="shared" si="5"/>
        <v>0.26847909432989869</v>
      </c>
      <c r="D215" s="7">
        <f t="shared" si="4"/>
        <v>7.0414822862438307</v>
      </c>
      <c r="N215" s="2"/>
    </row>
    <row r="216" spans="1:14" x14ac:dyDescent="0.3">
      <c r="A216" s="14">
        <v>42614</v>
      </c>
      <c r="B216" s="13">
        <v>605.55077741641287</v>
      </c>
      <c r="C216" s="12">
        <f t="shared" si="5"/>
        <v>0.49864920989575179</v>
      </c>
      <c r="D216" s="7">
        <f t="shared" si="4"/>
        <v>7.0414822862438307</v>
      </c>
      <c r="N216" s="2"/>
    </row>
    <row r="217" spans="1:14" x14ac:dyDescent="0.3">
      <c r="A217" s="14">
        <v>42644</v>
      </c>
      <c r="B217" s="13">
        <v>600.40145806120211</v>
      </c>
      <c r="C217" s="12">
        <f t="shared" si="5"/>
        <v>-0.64622884285195914</v>
      </c>
      <c r="D217" s="7">
        <f t="shared" si="4"/>
        <v>7.0414822862438307</v>
      </c>
      <c r="N217" s="2"/>
    </row>
    <row r="218" spans="1:14" x14ac:dyDescent="0.3">
      <c r="A218" s="14">
        <v>42675</v>
      </c>
      <c r="B218" s="13">
        <v>612.5920575146456</v>
      </c>
      <c r="C218" s="12">
        <f t="shared" si="5"/>
        <v>0.45895887700226901</v>
      </c>
      <c r="D218" s="7">
        <f t="shared" si="4"/>
        <v>7.0414822862438307</v>
      </c>
      <c r="N218" s="2"/>
    </row>
    <row r="219" spans="1:14" x14ac:dyDescent="0.3">
      <c r="A219" s="15">
        <v>42705</v>
      </c>
      <c r="B219" s="13">
        <v>605.77308669232275</v>
      </c>
      <c r="C219" s="12">
        <f t="shared" si="5"/>
        <v>-0.69393333717890915</v>
      </c>
      <c r="D219" s="7">
        <f t="shared" si="4"/>
        <v>7.0414822862438307</v>
      </c>
      <c r="E219" s="10"/>
      <c r="N219" s="2"/>
    </row>
    <row r="220" spans="1:14" x14ac:dyDescent="0.3">
      <c r="A220" s="15">
        <v>42736</v>
      </c>
      <c r="B220" s="13">
        <v>602.27025244810818</v>
      </c>
      <c r="C220" s="12">
        <f t="shared" si="5"/>
        <v>-0.97687395836107971</v>
      </c>
      <c r="D220" s="7">
        <f t="shared" si="4"/>
        <v>7.0414822862438307</v>
      </c>
      <c r="E220" s="10"/>
      <c r="N220" s="2"/>
    </row>
    <row r="221" spans="1:14" x14ac:dyDescent="0.3">
      <c r="A221" s="15">
        <v>42767</v>
      </c>
      <c r="B221" s="13">
        <v>598.42280462480676</v>
      </c>
      <c r="C221" s="12">
        <f t="shared" si="5"/>
        <v>-2.3632445267960489</v>
      </c>
      <c r="D221" s="7">
        <f t="shared" si="4"/>
        <v>7.0414822862438307</v>
      </c>
      <c r="E221" s="10"/>
      <c r="N221" s="2"/>
    </row>
    <row r="222" spans="1:14" x14ac:dyDescent="0.3">
      <c r="A222" s="14">
        <v>42795</v>
      </c>
      <c r="B222" s="13">
        <v>600.81445798671291</v>
      </c>
      <c r="C222" s="12">
        <f t="shared" si="5"/>
        <v>-1.3995205682625245</v>
      </c>
      <c r="D222" s="7">
        <f t="shared" si="4"/>
        <v>7.0414822862438307</v>
      </c>
      <c r="E222" s="10"/>
      <c r="N222" s="2"/>
    </row>
    <row r="223" spans="1:14" x14ac:dyDescent="0.3">
      <c r="A223" s="14">
        <v>42826</v>
      </c>
      <c r="B223" s="13">
        <v>600.97856325719454</v>
      </c>
      <c r="C223" s="12">
        <f t="shared" si="5"/>
        <v>-1.8988764042272677</v>
      </c>
      <c r="D223" s="7">
        <f t="shared" si="4"/>
        <v>7.0414822862438307</v>
      </c>
      <c r="E223" s="10"/>
      <c r="N223" s="2"/>
    </row>
    <row r="224" spans="1:14" x14ac:dyDescent="0.3">
      <c r="A224" s="14">
        <v>42856</v>
      </c>
      <c r="B224" s="13">
        <v>602.6725696289227</v>
      </c>
      <c r="C224" s="12">
        <f t="shared" si="5"/>
        <v>-1.6348511059038784</v>
      </c>
      <c r="D224" s="7">
        <f t="shared" si="4"/>
        <v>7.0414822862438307</v>
      </c>
      <c r="E224" s="10"/>
      <c r="N224" s="2"/>
    </row>
    <row r="225" spans="1:14" x14ac:dyDescent="0.3">
      <c r="A225" s="14">
        <v>42887</v>
      </c>
      <c r="B225" s="13">
        <v>606.50004481633687</v>
      </c>
      <c r="C225" s="12">
        <f t="shared" si="5"/>
        <v>0.32370056585839801</v>
      </c>
      <c r="D225" s="7">
        <f t="shared" si="4"/>
        <v>7.0414822862438307</v>
      </c>
      <c r="E225" s="10"/>
      <c r="N225" s="2"/>
    </row>
    <row r="226" spans="1:14" x14ac:dyDescent="0.3">
      <c r="A226" s="14">
        <v>42917</v>
      </c>
      <c r="B226" s="13">
        <v>608.04763803958133</v>
      </c>
      <c r="C226" s="12">
        <f t="shared" si="5"/>
        <v>0.50905728503101155</v>
      </c>
      <c r="D226" s="7">
        <f t="shared" si="4"/>
        <v>7.0414822862438307</v>
      </c>
      <c r="E226" s="10"/>
      <c r="N226" s="2"/>
    </row>
    <row r="227" spans="1:14" x14ac:dyDescent="0.3">
      <c r="A227" s="14">
        <v>42948</v>
      </c>
      <c r="B227" s="13">
        <v>606.99908039774743</v>
      </c>
      <c r="C227" s="12">
        <f t="shared" si="5"/>
        <v>3.1714844919039642E-2</v>
      </c>
      <c r="D227" s="7">
        <f t="shared" si="4"/>
        <v>7.0414822862438307</v>
      </c>
      <c r="E227" s="10"/>
      <c r="N227" s="2"/>
    </row>
    <row r="228" spans="1:14" x14ac:dyDescent="0.3">
      <c r="A228" s="14">
        <v>42979</v>
      </c>
      <c r="B228" s="13">
        <v>604.93254953616326</v>
      </c>
      <c r="C228" s="12">
        <f t="shared" si="5"/>
        <v>-0.1020934830415543</v>
      </c>
      <c r="D228" s="7">
        <f t="shared" si="4"/>
        <v>7.0414822862438307</v>
      </c>
      <c r="E228" s="10"/>
      <c r="N228" s="2"/>
    </row>
    <row r="229" spans="1:14" x14ac:dyDescent="0.3">
      <c r="A229" s="14">
        <v>43009</v>
      </c>
      <c r="B229" s="13">
        <v>608.01956011766026</v>
      </c>
      <c r="C229" s="12">
        <f t="shared" si="5"/>
        <v>1.2688347028766866</v>
      </c>
      <c r="D229" s="7">
        <f t="shared" si="4"/>
        <v>7.0414822862438307</v>
      </c>
      <c r="E229" s="10"/>
      <c r="N229" s="2"/>
    </row>
    <row r="230" spans="1:14" x14ac:dyDescent="0.3">
      <c r="A230" s="14">
        <v>43040</v>
      </c>
      <c r="B230" s="13">
        <v>613.9540524048208</v>
      </c>
      <c r="C230" s="12">
        <f t="shared" si="5"/>
        <v>0.22233309646568777</v>
      </c>
      <c r="D230" s="7">
        <f t="shared" si="4"/>
        <v>7.0414822862438307</v>
      </c>
      <c r="E230" s="10"/>
      <c r="N230" s="2"/>
    </row>
    <row r="231" spans="1:14" x14ac:dyDescent="0.3">
      <c r="A231" s="14">
        <v>43070</v>
      </c>
      <c r="B231" s="13">
        <v>610.93597046699949</v>
      </c>
      <c r="C231" s="12">
        <f t="shared" si="5"/>
        <v>0.85228015045490935</v>
      </c>
      <c r="D231" s="7">
        <f t="shared" si="4"/>
        <v>7.0414822862438307</v>
      </c>
      <c r="E231" s="10"/>
      <c r="J231" s="11"/>
      <c r="N231" s="2"/>
    </row>
    <row r="232" spans="1:14" x14ac:dyDescent="0.3">
      <c r="A232" s="14">
        <v>43101</v>
      </c>
      <c r="B232" s="13">
        <v>607.14516813343596</v>
      </c>
      <c r="C232" s="12">
        <f t="shared" si="5"/>
        <v>0.80942328888271575</v>
      </c>
      <c r="D232" s="7">
        <f t="shared" si="4"/>
        <v>7.0414822862438307</v>
      </c>
      <c r="E232" s="10"/>
      <c r="J232" s="11"/>
      <c r="N232" s="2"/>
    </row>
    <row r="233" spans="1:14" x14ac:dyDescent="0.3">
      <c r="A233" s="6"/>
      <c r="B233" s="6"/>
      <c r="C233" s="4"/>
      <c r="D233" s="7"/>
      <c r="E233" s="10"/>
      <c r="N233" s="2"/>
    </row>
    <row r="234" spans="1:14" x14ac:dyDescent="0.3">
      <c r="A234" s="6"/>
      <c r="B234" s="6"/>
      <c r="C234" s="4"/>
      <c r="D234" s="7"/>
      <c r="J234" s="9"/>
      <c r="N234" s="2"/>
    </row>
    <row r="235" spans="1:14" x14ac:dyDescent="0.3">
      <c r="A235" s="6"/>
      <c r="B235" s="6"/>
      <c r="C235" s="4"/>
      <c r="D235" s="7"/>
      <c r="N235" s="2"/>
    </row>
    <row r="236" spans="1:14" x14ac:dyDescent="0.3">
      <c r="A236" s="6"/>
      <c r="B236" s="6"/>
      <c r="C236" s="4"/>
      <c r="D236" s="7"/>
      <c r="N236" s="2"/>
    </row>
    <row r="237" spans="1:14" x14ac:dyDescent="0.3">
      <c r="A237" s="6"/>
      <c r="B237" s="6"/>
      <c r="C237" s="4"/>
      <c r="D237" s="7"/>
      <c r="E237" s="8"/>
      <c r="N237" s="2"/>
    </row>
    <row r="238" spans="1:14" x14ac:dyDescent="0.3">
      <c r="A238" s="6"/>
      <c r="B238" s="6"/>
      <c r="C238" s="4"/>
      <c r="D238" s="7"/>
      <c r="N238" s="2"/>
    </row>
    <row r="239" spans="1:14" x14ac:dyDescent="0.3">
      <c r="A239" s="6"/>
      <c r="B239" s="6"/>
      <c r="C239" s="4"/>
      <c r="D239" s="7"/>
      <c r="N239" s="2"/>
    </row>
    <row r="240" spans="1:14" x14ac:dyDescent="0.3">
      <c r="A240" s="6"/>
      <c r="B240" s="6"/>
      <c r="C240" s="4"/>
      <c r="D240" s="7"/>
      <c r="N240" s="2"/>
    </row>
    <row r="241" spans="1:14" x14ac:dyDescent="0.3">
      <c r="A241" s="6"/>
      <c r="B241" s="6"/>
      <c r="C241" s="4"/>
      <c r="D241" s="7"/>
      <c r="N241" s="2"/>
    </row>
    <row r="242" spans="1:14" x14ac:dyDescent="0.3">
      <c r="A242" s="6"/>
      <c r="B242" s="6"/>
      <c r="C242" s="4"/>
      <c r="D242" s="7"/>
      <c r="N242" s="2"/>
    </row>
    <row r="243" spans="1:14" x14ac:dyDescent="0.3">
      <c r="A243" s="6"/>
      <c r="B243" s="6"/>
      <c r="C243" s="4"/>
      <c r="D243" s="7"/>
      <c r="N243" s="2"/>
    </row>
    <row r="244" spans="1:14" x14ac:dyDescent="0.3">
      <c r="A244" s="6"/>
      <c r="B244" s="6"/>
      <c r="C244" s="4"/>
      <c r="D244" s="7"/>
      <c r="E244" s="8"/>
      <c r="N244" s="2"/>
    </row>
    <row r="245" spans="1:14" x14ac:dyDescent="0.3">
      <c r="A245" s="6"/>
      <c r="B245" s="6"/>
      <c r="C245" s="4"/>
      <c r="D245" s="7"/>
      <c r="N245" s="2"/>
    </row>
    <row r="246" spans="1:14" x14ac:dyDescent="0.3">
      <c r="A246" s="6"/>
      <c r="B246" s="6"/>
      <c r="C246" s="4"/>
      <c r="D246" s="7"/>
      <c r="N246" s="2"/>
    </row>
    <row r="247" spans="1:14" x14ac:dyDescent="0.3">
      <c r="A247" s="6"/>
      <c r="B247" s="6"/>
      <c r="C247" s="4"/>
      <c r="D247" s="7"/>
      <c r="N247" s="2"/>
    </row>
    <row r="248" spans="1:14" x14ac:dyDescent="0.3">
      <c r="A248" s="6"/>
      <c r="B248" s="6"/>
      <c r="C248" s="4"/>
      <c r="D248" s="7"/>
      <c r="N248" s="2"/>
    </row>
    <row r="249" spans="1:14" x14ac:dyDescent="0.3">
      <c r="A249" s="6"/>
      <c r="B249" s="6"/>
      <c r="C249" s="4"/>
      <c r="D249" s="7"/>
      <c r="N249" s="2"/>
    </row>
    <row r="250" spans="1:14" x14ac:dyDescent="0.3">
      <c r="A250" s="6"/>
      <c r="B250" s="6"/>
      <c r="C250" s="4"/>
      <c r="D250" s="7"/>
      <c r="N250" s="2"/>
    </row>
    <row r="251" spans="1:14" x14ac:dyDescent="0.3">
      <c r="A251" s="6"/>
      <c r="B251" s="6"/>
      <c r="C251" s="4"/>
      <c r="D251" s="7"/>
      <c r="N251" s="2"/>
    </row>
    <row r="252" spans="1:14" x14ac:dyDescent="0.3">
      <c r="A252" s="6"/>
      <c r="B252" s="6"/>
      <c r="C252" s="4"/>
      <c r="D252" s="7"/>
      <c r="N252" s="2"/>
    </row>
    <row r="253" spans="1:14" x14ac:dyDescent="0.3">
      <c r="A253" s="6"/>
      <c r="B253" s="6"/>
      <c r="C253" s="4"/>
      <c r="D253" s="7"/>
      <c r="N253" s="2"/>
    </row>
    <row r="254" spans="1:14" x14ac:dyDescent="0.3">
      <c r="A254" s="6"/>
      <c r="B254" s="6"/>
      <c r="C254" s="4"/>
      <c r="D254" s="7"/>
      <c r="N254" s="2"/>
    </row>
    <row r="255" spans="1:14" x14ac:dyDescent="0.3">
      <c r="A255" s="6"/>
      <c r="B255" s="6"/>
      <c r="C255" s="4"/>
      <c r="D255" s="7"/>
      <c r="N255" s="2"/>
    </row>
    <row r="256" spans="1:14" x14ac:dyDescent="0.3">
      <c r="A256" s="6"/>
      <c r="B256" s="6"/>
      <c r="C256" s="4"/>
      <c r="D256" s="7"/>
    </row>
    <row r="257" spans="1:4" x14ac:dyDescent="0.3">
      <c r="A257" s="6"/>
      <c r="B257" s="6"/>
      <c r="C257" s="4"/>
      <c r="D257" s="7"/>
    </row>
    <row r="258" spans="1:4" x14ac:dyDescent="0.3">
      <c r="A258" s="6"/>
      <c r="B258" s="6"/>
      <c r="C258" s="4"/>
      <c r="D258" s="7"/>
    </row>
    <row r="259" spans="1:4" x14ac:dyDescent="0.3">
      <c r="A259" s="6"/>
      <c r="B259" s="6"/>
      <c r="C259" s="4"/>
      <c r="D259" s="7"/>
    </row>
    <row r="260" spans="1:4" x14ac:dyDescent="0.3">
      <c r="A260" s="6"/>
      <c r="B260" s="6"/>
      <c r="C260" s="4"/>
      <c r="D260" s="7"/>
    </row>
    <row r="261" spans="1:4" x14ac:dyDescent="0.3">
      <c r="A261" s="6"/>
      <c r="B261" s="6"/>
      <c r="C261" s="4"/>
      <c r="D261" s="7"/>
    </row>
    <row r="262" spans="1:4" x14ac:dyDescent="0.3">
      <c r="A262" s="6"/>
      <c r="B262" s="6"/>
      <c r="C262" s="4"/>
      <c r="D262" s="7"/>
    </row>
    <row r="263" spans="1:4" x14ac:dyDescent="0.3">
      <c r="A263" s="6"/>
      <c r="B263" s="6"/>
      <c r="C263" s="4"/>
      <c r="D263" s="7"/>
    </row>
    <row r="264" spans="1:4" x14ac:dyDescent="0.3">
      <c r="A264" s="6"/>
      <c r="B264" s="6"/>
      <c r="C264" s="4"/>
      <c r="D264" s="7"/>
    </row>
    <row r="265" spans="1:4" x14ac:dyDescent="0.3">
      <c r="A265" s="6"/>
      <c r="B265" s="6"/>
      <c r="C265" s="4"/>
      <c r="D265" s="7"/>
    </row>
    <row r="266" spans="1:4" x14ac:dyDescent="0.3">
      <c r="A266" s="6"/>
      <c r="B266" s="6"/>
      <c r="C266" s="4"/>
      <c r="D266" s="7"/>
    </row>
    <row r="267" spans="1:4" x14ac:dyDescent="0.3">
      <c r="A267" s="6"/>
      <c r="B267" s="6"/>
      <c r="C267" s="4"/>
      <c r="D267" s="7"/>
    </row>
    <row r="268" spans="1:4" x14ac:dyDescent="0.3">
      <c r="A268" s="6"/>
      <c r="B268" s="6"/>
      <c r="C268" s="4"/>
      <c r="D268" s="7"/>
    </row>
    <row r="269" spans="1:4" x14ac:dyDescent="0.3">
      <c r="A269" s="6"/>
      <c r="B269" s="6"/>
      <c r="C269" s="4"/>
      <c r="D269" s="7"/>
    </row>
    <row r="270" spans="1:4" x14ac:dyDescent="0.3">
      <c r="A270" s="6"/>
      <c r="B270" s="6"/>
      <c r="C270" s="4"/>
      <c r="D270" s="7"/>
    </row>
    <row r="271" spans="1:4" x14ac:dyDescent="0.3">
      <c r="A271" s="6"/>
      <c r="B271" s="6"/>
      <c r="C271" s="4"/>
      <c r="D271" s="7"/>
    </row>
    <row r="272" spans="1:4" x14ac:dyDescent="0.3">
      <c r="A272" s="6"/>
      <c r="B272" s="6"/>
      <c r="C272" s="4"/>
      <c r="D272" s="7"/>
    </row>
    <row r="273" spans="1:4" x14ac:dyDescent="0.3">
      <c r="A273" s="6"/>
      <c r="B273" s="6"/>
      <c r="C273" s="4"/>
      <c r="D273" s="7"/>
    </row>
    <row r="274" spans="1:4" x14ac:dyDescent="0.3">
      <c r="A274" s="6"/>
      <c r="B274" s="6"/>
      <c r="C274" s="4"/>
      <c r="D274" s="7"/>
    </row>
    <row r="275" spans="1:4" x14ac:dyDescent="0.3">
      <c r="A275" s="6"/>
      <c r="B275" s="6"/>
      <c r="C275" s="4"/>
      <c r="D275" s="7"/>
    </row>
    <row r="276" spans="1:4" x14ac:dyDescent="0.3">
      <c r="A276" s="6"/>
      <c r="B276" s="6"/>
      <c r="C276" s="4"/>
      <c r="D276" s="7"/>
    </row>
    <row r="277" spans="1:4" x14ac:dyDescent="0.3">
      <c r="A277" s="6"/>
      <c r="B277" s="6"/>
      <c r="C277" s="4"/>
      <c r="D277" s="7"/>
    </row>
    <row r="278" spans="1:4" x14ac:dyDescent="0.3">
      <c r="A278" s="6"/>
      <c r="B278" s="6"/>
      <c r="C278" s="4"/>
      <c r="D278" s="7"/>
    </row>
    <row r="279" spans="1:4" x14ac:dyDescent="0.3">
      <c r="A279" s="6"/>
      <c r="B279" s="6"/>
      <c r="C279" s="4"/>
      <c r="D279" s="7"/>
    </row>
    <row r="280" spans="1:4" x14ac:dyDescent="0.3">
      <c r="A280" s="6"/>
      <c r="B280" s="6"/>
      <c r="C280" s="4"/>
      <c r="D280" s="7"/>
    </row>
    <row r="281" spans="1:4" x14ac:dyDescent="0.3">
      <c r="A281" s="6"/>
      <c r="B281" s="6"/>
      <c r="C281" s="4"/>
      <c r="D281" s="7"/>
    </row>
    <row r="282" spans="1:4" x14ac:dyDescent="0.3">
      <c r="A282" s="6"/>
      <c r="B282" s="6"/>
      <c r="C282" s="4"/>
      <c r="D282" s="7"/>
    </row>
    <row r="283" spans="1:4" x14ac:dyDescent="0.3">
      <c r="A283" s="6"/>
      <c r="B283" s="6"/>
      <c r="C283" s="4"/>
      <c r="D283" s="7"/>
    </row>
    <row r="284" spans="1:4" x14ac:dyDescent="0.3">
      <c r="A284" s="6"/>
      <c r="B284" s="6"/>
      <c r="C284" s="4"/>
      <c r="D284" s="7"/>
    </row>
    <row r="285" spans="1:4" x14ac:dyDescent="0.3">
      <c r="A285" s="6"/>
      <c r="B285" s="6"/>
      <c r="C285" s="4"/>
      <c r="D285" s="7"/>
    </row>
    <row r="286" spans="1:4" x14ac:dyDescent="0.3">
      <c r="A286" s="6"/>
      <c r="B286" s="6"/>
      <c r="C286" s="4"/>
      <c r="D286" s="7"/>
    </row>
    <row r="287" spans="1:4" x14ac:dyDescent="0.3">
      <c r="A287" s="6"/>
      <c r="B287" s="6"/>
      <c r="C287" s="4"/>
      <c r="D287" s="7"/>
    </row>
    <row r="288" spans="1:4" x14ac:dyDescent="0.3">
      <c r="A288" s="6"/>
      <c r="B288" s="6"/>
      <c r="C288" s="4"/>
      <c r="D288" s="7"/>
    </row>
    <row r="289" spans="1:4" x14ac:dyDescent="0.3">
      <c r="A289" s="6"/>
      <c r="B289" s="6"/>
      <c r="C289" s="4"/>
      <c r="D289" s="7"/>
    </row>
    <row r="290" spans="1:4" x14ac:dyDescent="0.3">
      <c r="A290" s="6"/>
      <c r="B290" s="6"/>
      <c r="C290" s="4"/>
      <c r="D290" s="7"/>
    </row>
    <row r="291" spans="1:4" x14ac:dyDescent="0.3">
      <c r="A291" s="6"/>
      <c r="B291" s="6"/>
      <c r="C291" s="4"/>
      <c r="D291" s="7"/>
    </row>
    <row r="292" spans="1:4" x14ac:dyDescent="0.3">
      <c r="A292" s="6"/>
      <c r="B292" s="6"/>
      <c r="C292" s="4"/>
      <c r="D292" s="7"/>
    </row>
    <row r="293" spans="1:4" x14ac:dyDescent="0.3">
      <c r="A293" s="6"/>
      <c r="B293" s="6"/>
      <c r="C293" s="4"/>
      <c r="D293" s="7"/>
    </row>
    <row r="294" spans="1:4" x14ac:dyDescent="0.3">
      <c r="A294" s="6"/>
      <c r="B294" s="6"/>
      <c r="C294" s="4"/>
      <c r="D294" s="7"/>
    </row>
    <row r="295" spans="1:4" x14ac:dyDescent="0.3">
      <c r="A295" s="6"/>
      <c r="B295" s="6"/>
      <c r="C295" s="4"/>
      <c r="D295" s="7"/>
    </row>
    <row r="296" spans="1:4" x14ac:dyDescent="0.3">
      <c r="A296" s="6"/>
      <c r="B296" s="6"/>
      <c r="C296" s="4"/>
      <c r="D296" s="7"/>
    </row>
    <row r="297" spans="1:4" x14ac:dyDescent="0.3">
      <c r="A297" s="6"/>
      <c r="B297" s="6"/>
      <c r="C297" s="4"/>
      <c r="D297" s="7"/>
    </row>
    <row r="298" spans="1:4" x14ac:dyDescent="0.3">
      <c r="A298" s="6"/>
      <c r="B298" s="6"/>
      <c r="C298" s="4"/>
      <c r="D298" s="7"/>
    </row>
    <row r="299" spans="1:4" x14ac:dyDescent="0.3">
      <c r="A299" s="6"/>
      <c r="B299" s="6"/>
      <c r="C299" s="4"/>
      <c r="D299" s="7"/>
    </row>
    <row r="300" spans="1:4" x14ac:dyDescent="0.3">
      <c r="A300" s="6"/>
      <c r="B300" s="6"/>
      <c r="C300" s="4"/>
      <c r="D300" s="7"/>
    </row>
    <row r="301" spans="1:4" x14ac:dyDescent="0.3">
      <c r="A301" s="6"/>
      <c r="B301" s="6"/>
      <c r="C301" s="4"/>
      <c r="D301" s="7"/>
    </row>
    <row r="302" spans="1:4" x14ac:dyDescent="0.3">
      <c r="A302" s="6"/>
      <c r="B302" s="6"/>
      <c r="C302" s="4"/>
      <c r="D302" s="7"/>
    </row>
    <row r="303" spans="1:4" x14ac:dyDescent="0.3">
      <c r="A303" s="6"/>
      <c r="B303" s="6"/>
      <c r="C303" s="4"/>
      <c r="D303" s="7"/>
    </row>
    <row r="304" spans="1:4" x14ac:dyDescent="0.3">
      <c r="A304" s="6"/>
      <c r="B304" s="6"/>
      <c r="C304" s="4"/>
      <c r="D304" s="1"/>
    </row>
    <row r="305" spans="1:4" x14ac:dyDescent="0.3">
      <c r="A305" s="6"/>
      <c r="B305" s="6"/>
      <c r="C305" s="4"/>
      <c r="D305" s="1"/>
    </row>
    <row r="306" spans="1:4" x14ac:dyDescent="0.3">
      <c r="A306" s="6"/>
      <c r="B306" s="6"/>
      <c r="C306" s="4"/>
      <c r="D306" s="1"/>
    </row>
    <row r="307" spans="1:4" x14ac:dyDescent="0.3">
      <c r="A307" s="6"/>
      <c r="B307" s="6"/>
      <c r="C307" s="4"/>
      <c r="D307" s="1"/>
    </row>
    <row r="308" spans="1:4" x14ac:dyDescent="0.3">
      <c r="A308" s="6"/>
      <c r="B308" s="6"/>
      <c r="C308" s="4"/>
      <c r="D308" s="1"/>
    </row>
    <row r="309" spans="1:4" x14ac:dyDescent="0.3">
      <c r="A309" s="6"/>
      <c r="B309" s="6"/>
      <c r="C309" s="4"/>
      <c r="D309" s="1"/>
    </row>
    <row r="310" spans="1:4" x14ac:dyDescent="0.3">
      <c r="A310" s="6"/>
      <c r="B310" s="6"/>
      <c r="C310" s="4"/>
      <c r="D310" s="1"/>
    </row>
    <row r="311" spans="1:4" x14ac:dyDescent="0.3">
      <c r="A311" s="6"/>
      <c r="B311" s="6"/>
      <c r="C311" s="4"/>
      <c r="D311" s="1"/>
    </row>
    <row r="312" spans="1:4" x14ac:dyDescent="0.3">
      <c r="A312" s="6"/>
      <c r="B312" s="6"/>
      <c r="C312" s="4"/>
      <c r="D312" s="1"/>
    </row>
    <row r="313" spans="1:4" x14ac:dyDescent="0.3">
      <c r="A313" s="6"/>
      <c r="B313" s="6"/>
      <c r="C313" s="4"/>
      <c r="D313" s="1"/>
    </row>
    <row r="314" spans="1:4" x14ac:dyDescent="0.3">
      <c r="A314" s="6"/>
      <c r="B314" s="6"/>
      <c r="C314" s="4"/>
      <c r="D314" s="1"/>
    </row>
    <row r="315" spans="1:4" x14ac:dyDescent="0.3">
      <c r="A315" s="6"/>
      <c r="B315" s="6"/>
      <c r="C315" s="4"/>
      <c r="D315" s="1"/>
    </row>
    <row r="316" spans="1:4" x14ac:dyDescent="0.3">
      <c r="A316" s="6"/>
      <c r="B316" s="6"/>
      <c r="C316" s="4"/>
      <c r="D316" s="1"/>
    </row>
    <row r="317" spans="1:4" x14ac:dyDescent="0.3">
      <c r="A317" s="6"/>
      <c r="B317" s="6"/>
      <c r="C317" s="4"/>
      <c r="D317" s="1"/>
    </row>
    <row r="318" spans="1:4" x14ac:dyDescent="0.3">
      <c r="A318" s="6"/>
      <c r="B318" s="6"/>
      <c r="C318" s="4"/>
      <c r="D318" s="1"/>
    </row>
    <row r="319" spans="1:4" x14ac:dyDescent="0.3">
      <c r="A319" s="6"/>
      <c r="B319" s="6"/>
      <c r="C319" s="4"/>
      <c r="D319" s="1"/>
    </row>
    <row r="320" spans="1:4" x14ac:dyDescent="0.3">
      <c r="A320" s="6"/>
      <c r="B320" s="6"/>
      <c r="C320" s="4"/>
      <c r="D320" s="1"/>
    </row>
    <row r="321" spans="1:4" x14ac:dyDescent="0.3">
      <c r="A321" s="6"/>
      <c r="B321" s="6"/>
      <c r="C321" s="4"/>
      <c r="D321" s="1"/>
    </row>
    <row r="322" spans="1:4" x14ac:dyDescent="0.3">
      <c r="A322" s="6"/>
      <c r="B322" s="6"/>
      <c r="C322" s="4"/>
      <c r="D322" s="1"/>
    </row>
    <row r="323" spans="1:4" x14ac:dyDescent="0.3">
      <c r="A323" s="6"/>
      <c r="B323" s="6"/>
      <c r="C323" s="4"/>
      <c r="D323" s="1"/>
    </row>
    <row r="324" spans="1:4" x14ac:dyDescent="0.3">
      <c r="A324" s="6"/>
      <c r="B324" s="6"/>
      <c r="C324" s="4"/>
      <c r="D324" s="1"/>
    </row>
    <row r="325" spans="1:4" x14ac:dyDescent="0.3">
      <c r="A325" s="6"/>
      <c r="B325" s="6"/>
      <c r="C325" s="4"/>
      <c r="D325" s="1"/>
    </row>
    <row r="326" spans="1:4" x14ac:dyDescent="0.3">
      <c r="A326" s="6"/>
      <c r="B326" s="6"/>
      <c r="C326" s="4"/>
      <c r="D326" s="1"/>
    </row>
    <row r="327" spans="1:4" x14ac:dyDescent="0.3">
      <c r="A327" s="6"/>
      <c r="B327" s="6"/>
      <c r="C327" s="4"/>
      <c r="D327" s="1"/>
    </row>
    <row r="328" spans="1:4" x14ac:dyDescent="0.3">
      <c r="A328" s="6"/>
      <c r="B328" s="6"/>
      <c r="C328" s="4"/>
      <c r="D328" s="1"/>
    </row>
    <row r="329" spans="1:4" x14ac:dyDescent="0.3">
      <c r="A329" s="6"/>
      <c r="B329" s="6"/>
      <c r="C329" s="4"/>
      <c r="D329" s="1"/>
    </row>
    <row r="330" spans="1:4" x14ac:dyDescent="0.3">
      <c r="A330" s="6"/>
      <c r="B330" s="6"/>
      <c r="C330" s="4"/>
      <c r="D330" s="1"/>
    </row>
    <row r="331" spans="1:4" x14ac:dyDescent="0.3">
      <c r="A331" s="6"/>
      <c r="B331" s="6"/>
      <c r="C331" s="4"/>
      <c r="D331" s="1"/>
    </row>
    <row r="332" spans="1:4" x14ac:dyDescent="0.3">
      <c r="A332" s="6"/>
      <c r="B332" s="6"/>
      <c r="C332" s="4"/>
      <c r="D332" s="1"/>
    </row>
    <row r="333" spans="1:4" x14ac:dyDescent="0.3">
      <c r="A333" s="6"/>
      <c r="B333" s="6"/>
      <c r="C333" s="4"/>
      <c r="D333" s="1"/>
    </row>
    <row r="334" spans="1:4" x14ac:dyDescent="0.3">
      <c r="A334" s="6"/>
      <c r="B334" s="6"/>
      <c r="C334" s="4"/>
      <c r="D334" s="1"/>
    </row>
    <row r="335" spans="1:4" x14ac:dyDescent="0.3">
      <c r="A335" s="6"/>
      <c r="B335" s="6"/>
      <c r="C335" s="4"/>
      <c r="D335" s="1"/>
    </row>
    <row r="336" spans="1:4" x14ac:dyDescent="0.3">
      <c r="A336" s="6"/>
      <c r="B336" s="6"/>
      <c r="C336" s="4"/>
      <c r="D336" s="1"/>
    </row>
    <row r="337" spans="1:4" x14ac:dyDescent="0.3">
      <c r="A337" s="6"/>
      <c r="B337" s="6"/>
      <c r="C337" s="4"/>
      <c r="D337" s="1"/>
    </row>
    <row r="338" spans="1:4" x14ac:dyDescent="0.3">
      <c r="A338" s="6"/>
      <c r="B338" s="6"/>
      <c r="C338" s="4"/>
      <c r="D338" s="1"/>
    </row>
    <row r="339" spans="1:4" x14ac:dyDescent="0.3">
      <c r="A339" s="6"/>
      <c r="B339" s="6"/>
      <c r="C339" s="4"/>
      <c r="D339" s="1"/>
    </row>
    <row r="340" spans="1:4" x14ac:dyDescent="0.3">
      <c r="A340" s="6"/>
      <c r="B340" s="6"/>
      <c r="C340" s="4"/>
      <c r="D340" s="1"/>
    </row>
    <row r="341" spans="1:4" x14ac:dyDescent="0.3">
      <c r="A341" s="6"/>
      <c r="B341" s="6"/>
      <c r="C341" s="4"/>
      <c r="D341" s="1"/>
    </row>
    <row r="342" spans="1:4" x14ac:dyDescent="0.3">
      <c r="A342" s="6"/>
      <c r="B342" s="6"/>
      <c r="C342" s="4"/>
      <c r="D342" s="1"/>
    </row>
    <row r="343" spans="1:4" x14ac:dyDescent="0.3">
      <c r="A343" s="6"/>
      <c r="B343" s="6"/>
      <c r="C343" s="4"/>
      <c r="D343" s="1"/>
    </row>
    <row r="344" spans="1:4" x14ac:dyDescent="0.3">
      <c r="A344" s="6"/>
      <c r="B344" s="6"/>
      <c r="C344" s="4"/>
      <c r="D344" s="1"/>
    </row>
    <row r="345" spans="1:4" x14ac:dyDescent="0.3">
      <c r="A345" s="6"/>
      <c r="B345" s="6"/>
      <c r="C345" s="4"/>
      <c r="D345" s="1"/>
    </row>
    <row r="346" spans="1:4" x14ac:dyDescent="0.3">
      <c r="A346" s="6"/>
      <c r="B346" s="6"/>
      <c r="C346" s="4"/>
      <c r="D346" s="1"/>
    </row>
    <row r="347" spans="1:4" x14ac:dyDescent="0.3">
      <c r="A347" s="6"/>
      <c r="B347" s="6"/>
      <c r="C347" s="4"/>
      <c r="D347" s="1"/>
    </row>
    <row r="348" spans="1:4" x14ac:dyDescent="0.3">
      <c r="A348" s="6"/>
      <c r="B348" s="6"/>
      <c r="C348" s="4"/>
      <c r="D348" s="1"/>
    </row>
    <row r="349" spans="1:4" x14ac:dyDescent="0.3">
      <c r="A349" s="6"/>
      <c r="B349" s="6"/>
      <c r="C349" s="4"/>
      <c r="D349" s="1"/>
    </row>
    <row r="350" spans="1:4" x14ac:dyDescent="0.3">
      <c r="A350" s="6"/>
      <c r="B350" s="6"/>
      <c r="C350" s="4"/>
      <c r="D350" s="1"/>
    </row>
    <row r="351" spans="1:4" x14ac:dyDescent="0.3">
      <c r="A351" s="6"/>
      <c r="B351" s="6"/>
      <c r="C351" s="4"/>
      <c r="D351" s="1"/>
    </row>
    <row r="352" spans="1:4" x14ac:dyDescent="0.3">
      <c r="A352" s="6"/>
      <c r="B352" s="6"/>
      <c r="C352" s="4"/>
      <c r="D352" s="1"/>
    </row>
    <row r="353" spans="1:4" x14ac:dyDescent="0.3">
      <c r="A353" s="6"/>
      <c r="B353" s="6"/>
      <c r="C353" s="4"/>
      <c r="D353" s="1"/>
    </row>
    <row r="354" spans="1:4" x14ac:dyDescent="0.3">
      <c r="A354" s="6"/>
      <c r="B354" s="6"/>
      <c r="C354" s="4"/>
      <c r="D354" s="1"/>
    </row>
    <row r="355" spans="1:4" x14ac:dyDescent="0.3">
      <c r="A355" s="6"/>
      <c r="B355" s="6"/>
      <c r="C355" s="4"/>
      <c r="D355" s="1"/>
    </row>
    <row r="356" spans="1:4" x14ac:dyDescent="0.3">
      <c r="A356" s="6"/>
      <c r="B356" s="6"/>
      <c r="C356" s="4"/>
      <c r="D356" s="1"/>
    </row>
    <row r="357" spans="1:4" x14ac:dyDescent="0.3">
      <c r="A357" s="6"/>
      <c r="B357" s="6"/>
      <c r="C357" s="4"/>
      <c r="D357" s="1"/>
    </row>
    <row r="358" spans="1:4" x14ac:dyDescent="0.3">
      <c r="A358" s="6"/>
      <c r="B358" s="6"/>
      <c r="C358" s="4"/>
      <c r="D358" s="1"/>
    </row>
    <row r="359" spans="1:4" x14ac:dyDescent="0.3">
      <c r="A359" s="6"/>
      <c r="B359" s="6"/>
      <c r="C359" s="4"/>
      <c r="D359" s="1"/>
    </row>
    <row r="360" spans="1:4" x14ac:dyDescent="0.3">
      <c r="A360" s="6"/>
      <c r="B360" s="6"/>
      <c r="C360" s="4"/>
      <c r="D360" s="1"/>
    </row>
    <row r="361" spans="1:4" x14ac:dyDescent="0.3">
      <c r="A361" s="6"/>
      <c r="B361" s="6"/>
      <c r="C361" s="4"/>
      <c r="D361" s="1"/>
    </row>
    <row r="362" spans="1:4" x14ac:dyDescent="0.3">
      <c r="A362" s="6"/>
      <c r="B362" s="6"/>
      <c r="C362" s="4"/>
      <c r="D362" s="1"/>
    </row>
    <row r="363" spans="1:4" x14ac:dyDescent="0.3">
      <c r="A363" s="6"/>
      <c r="B363" s="6"/>
      <c r="C363" s="4"/>
      <c r="D363" s="1"/>
    </row>
    <row r="364" spans="1:4" x14ac:dyDescent="0.3">
      <c r="A364" s="6"/>
      <c r="B364" s="6"/>
      <c r="C364" s="4"/>
      <c r="D364" s="1"/>
    </row>
    <row r="365" spans="1:4" x14ac:dyDescent="0.3">
      <c r="A365" s="6"/>
      <c r="B365" s="6"/>
      <c r="C365" s="4"/>
      <c r="D365" s="1"/>
    </row>
    <row r="366" spans="1:4" x14ac:dyDescent="0.3">
      <c r="A366" s="6"/>
      <c r="B366" s="6"/>
      <c r="C366" s="4"/>
      <c r="D366" s="1"/>
    </row>
    <row r="367" spans="1:4" x14ac:dyDescent="0.3">
      <c r="A367" s="6"/>
      <c r="B367" s="6"/>
      <c r="C367" s="4"/>
      <c r="D367" s="1"/>
    </row>
    <row r="368" spans="1:4" x14ac:dyDescent="0.3">
      <c r="A368" s="6"/>
      <c r="B368" s="6"/>
      <c r="C368" s="4"/>
      <c r="D368" s="1"/>
    </row>
    <row r="369" spans="1:4" x14ac:dyDescent="0.3">
      <c r="A369" s="6"/>
      <c r="B369" s="6"/>
      <c r="C369" s="4"/>
      <c r="D369" s="1"/>
    </row>
    <row r="370" spans="1:4" x14ac:dyDescent="0.3">
      <c r="A370" s="6"/>
      <c r="B370" s="6"/>
      <c r="C370" s="4"/>
      <c r="D370" s="1"/>
    </row>
    <row r="371" spans="1:4" x14ac:dyDescent="0.3">
      <c r="A371" s="6"/>
      <c r="B371" s="6"/>
      <c r="C371" s="4"/>
      <c r="D371" s="1"/>
    </row>
    <row r="372" spans="1:4" x14ac:dyDescent="0.3">
      <c r="A372" s="6"/>
      <c r="B372" s="6"/>
      <c r="C372" s="4"/>
      <c r="D372" s="1"/>
    </row>
    <row r="373" spans="1:4" x14ac:dyDescent="0.3">
      <c r="A373" s="6"/>
      <c r="B373" s="6"/>
      <c r="C373" s="4"/>
      <c r="D373" s="1"/>
    </row>
    <row r="374" spans="1:4" x14ac:dyDescent="0.3">
      <c r="A374" s="6"/>
      <c r="B374" s="6"/>
      <c r="C374" s="4"/>
      <c r="D374" s="1"/>
    </row>
    <row r="375" spans="1:4" x14ac:dyDescent="0.3">
      <c r="A375" s="6"/>
      <c r="B375" s="6"/>
      <c r="C375" s="4"/>
      <c r="D375" s="1"/>
    </row>
    <row r="376" spans="1:4" x14ac:dyDescent="0.3">
      <c r="A376" s="6"/>
      <c r="B376" s="6"/>
      <c r="C376" s="4"/>
      <c r="D376" s="1"/>
    </row>
    <row r="377" spans="1:4" x14ac:dyDescent="0.3">
      <c r="A377" s="6"/>
      <c r="B377" s="6"/>
      <c r="C377" s="4"/>
      <c r="D377" s="1"/>
    </row>
    <row r="378" spans="1:4" x14ac:dyDescent="0.3">
      <c r="A378" s="6"/>
      <c r="B378" s="6"/>
      <c r="C378" s="4"/>
      <c r="D378" s="1"/>
    </row>
    <row r="379" spans="1:4" x14ac:dyDescent="0.3">
      <c r="A379" s="6"/>
      <c r="B379" s="6"/>
      <c r="C379" s="4"/>
      <c r="D379" s="1"/>
    </row>
    <row r="380" spans="1:4" x14ac:dyDescent="0.3">
      <c r="A380" s="6"/>
      <c r="B380" s="6"/>
      <c r="C380" s="4"/>
      <c r="D380" s="1"/>
    </row>
    <row r="381" spans="1:4" x14ac:dyDescent="0.3">
      <c r="A381" s="6"/>
      <c r="B381" s="6"/>
      <c r="C381" s="4"/>
      <c r="D381" s="1"/>
    </row>
    <row r="382" spans="1:4" x14ac:dyDescent="0.3">
      <c r="A382" s="6"/>
      <c r="B382" s="6"/>
      <c r="C382" s="4"/>
      <c r="D382" s="1"/>
    </row>
    <row r="383" spans="1:4" x14ac:dyDescent="0.3">
      <c r="A383" s="6"/>
      <c r="B383" s="6"/>
      <c r="C383" s="4"/>
      <c r="D383" s="1"/>
    </row>
    <row r="384" spans="1:4" x14ac:dyDescent="0.3">
      <c r="A384" s="6"/>
      <c r="B384" s="6"/>
      <c r="C384" s="4"/>
      <c r="D384" s="1"/>
    </row>
    <row r="385" spans="1:4" x14ac:dyDescent="0.3">
      <c r="A385" s="6"/>
      <c r="B385" s="6"/>
      <c r="C385" s="4"/>
      <c r="D385" s="1"/>
    </row>
    <row r="386" spans="1:4" x14ac:dyDescent="0.3">
      <c r="A386" s="6"/>
      <c r="B386" s="6"/>
      <c r="C386" s="4"/>
      <c r="D386" s="1"/>
    </row>
    <row r="387" spans="1:4" x14ac:dyDescent="0.3">
      <c r="A387" s="6"/>
      <c r="B387" s="6"/>
      <c r="C387" s="4"/>
      <c r="D387" s="1"/>
    </row>
    <row r="388" spans="1:4" x14ac:dyDescent="0.3">
      <c r="A388" s="6"/>
      <c r="B388" s="6"/>
      <c r="C388" s="4"/>
      <c r="D388" s="1"/>
    </row>
    <row r="389" spans="1:4" x14ac:dyDescent="0.3">
      <c r="A389" s="6"/>
      <c r="B389" s="6"/>
      <c r="C389" s="4"/>
      <c r="D389" s="1"/>
    </row>
    <row r="390" spans="1:4" x14ac:dyDescent="0.3">
      <c r="A390" s="6"/>
      <c r="B390" s="6"/>
      <c r="C390" s="4"/>
      <c r="D390" s="1"/>
    </row>
    <row r="391" spans="1:4" x14ac:dyDescent="0.3">
      <c r="A391" s="6"/>
      <c r="B391" s="6"/>
      <c r="C391" s="4"/>
      <c r="D391" s="1"/>
    </row>
    <row r="392" spans="1:4" x14ac:dyDescent="0.3">
      <c r="A392" s="6"/>
      <c r="B392" s="6"/>
      <c r="C392" s="4"/>
      <c r="D392" s="1"/>
    </row>
    <row r="393" spans="1:4" x14ac:dyDescent="0.3">
      <c r="A393" s="6"/>
      <c r="B393" s="6"/>
      <c r="C393" s="4"/>
      <c r="D393" s="1"/>
    </row>
    <row r="394" spans="1:4" x14ac:dyDescent="0.3">
      <c r="A394" s="6"/>
      <c r="B394" s="6"/>
      <c r="C394" s="4"/>
      <c r="D394" s="1"/>
    </row>
    <row r="395" spans="1:4" x14ac:dyDescent="0.3">
      <c r="A395" s="6"/>
      <c r="B395" s="6"/>
      <c r="C395" s="4"/>
      <c r="D395" s="1"/>
    </row>
    <row r="396" spans="1:4" x14ac:dyDescent="0.3">
      <c r="A396" s="6"/>
      <c r="B396" s="6"/>
      <c r="C396" s="4"/>
      <c r="D396" s="1"/>
    </row>
    <row r="397" spans="1:4" x14ac:dyDescent="0.3">
      <c r="A397" s="6"/>
      <c r="B397" s="6"/>
      <c r="C397" s="4"/>
      <c r="D397" s="1"/>
    </row>
    <row r="398" spans="1:4" x14ac:dyDescent="0.3">
      <c r="A398" s="6"/>
      <c r="B398" s="6"/>
      <c r="C398" s="4"/>
      <c r="D398" s="1"/>
    </row>
    <row r="399" spans="1:4" x14ac:dyDescent="0.3">
      <c r="A399" s="6"/>
      <c r="B399" s="6"/>
      <c r="C399" s="4"/>
      <c r="D399" s="1"/>
    </row>
    <row r="400" spans="1:4" x14ac:dyDescent="0.3">
      <c r="A400" s="6"/>
      <c r="B400" s="6"/>
      <c r="C400" s="4"/>
      <c r="D400" s="1"/>
    </row>
    <row r="401" spans="1:4" x14ac:dyDescent="0.3">
      <c r="A401" s="6"/>
      <c r="B401" s="6"/>
      <c r="C401" s="4"/>
      <c r="D401" s="1"/>
    </row>
    <row r="402" spans="1:4" x14ac:dyDescent="0.3">
      <c r="A402" s="6"/>
      <c r="B402" s="6"/>
      <c r="C402" s="4"/>
      <c r="D402" s="1"/>
    </row>
    <row r="403" spans="1:4" x14ac:dyDescent="0.3">
      <c r="A403" s="6"/>
      <c r="B403" s="6"/>
      <c r="C403" s="4"/>
      <c r="D403" s="1"/>
    </row>
    <row r="404" spans="1:4" x14ac:dyDescent="0.3">
      <c r="A404" s="6"/>
      <c r="B404" s="6"/>
      <c r="C404" s="4"/>
      <c r="D404" s="1"/>
    </row>
    <row r="405" spans="1:4" x14ac:dyDescent="0.3">
      <c r="A405" s="6"/>
      <c r="B405" s="6"/>
      <c r="C405" s="4"/>
      <c r="D405" s="1"/>
    </row>
    <row r="406" spans="1:4" x14ac:dyDescent="0.3">
      <c r="A406" s="6"/>
      <c r="B406" s="6"/>
      <c r="C406" s="4"/>
      <c r="D406" s="1"/>
    </row>
    <row r="407" spans="1:4" x14ac:dyDescent="0.3">
      <c r="A407" s="6"/>
      <c r="B407" s="6"/>
      <c r="C407" s="4"/>
      <c r="D407" s="1"/>
    </row>
    <row r="408" spans="1:4" x14ac:dyDescent="0.3">
      <c r="A408" s="6"/>
      <c r="B408" s="6"/>
      <c r="C408" s="4"/>
      <c r="D408" s="1"/>
    </row>
    <row r="409" spans="1:4" x14ac:dyDescent="0.3">
      <c r="A409" s="6"/>
      <c r="B409" s="6"/>
      <c r="C409" s="4"/>
      <c r="D409" s="1"/>
    </row>
    <row r="410" spans="1:4" x14ac:dyDescent="0.3">
      <c r="A410" s="6"/>
      <c r="B410" s="6"/>
      <c r="C410" s="4"/>
      <c r="D410" s="1"/>
    </row>
    <row r="411" spans="1:4" x14ac:dyDescent="0.3">
      <c r="A411" s="6"/>
      <c r="B411" s="6"/>
      <c r="C411" s="4"/>
      <c r="D411" s="1"/>
    </row>
    <row r="412" spans="1:4" x14ac:dyDescent="0.3">
      <c r="A412" s="6"/>
      <c r="B412" s="6"/>
      <c r="C412" s="4"/>
      <c r="D412" s="1"/>
    </row>
    <row r="413" spans="1:4" x14ac:dyDescent="0.3">
      <c r="A413" s="6"/>
      <c r="B413" s="6"/>
      <c r="C413" s="4"/>
      <c r="D413" s="1"/>
    </row>
    <row r="414" spans="1:4" x14ac:dyDescent="0.3">
      <c r="A414" s="6"/>
      <c r="B414" s="6"/>
      <c r="C414" s="4"/>
      <c r="D414" s="1"/>
    </row>
    <row r="415" spans="1:4" x14ac:dyDescent="0.3">
      <c r="A415" s="6"/>
      <c r="B415" s="6"/>
      <c r="C415" s="4"/>
      <c r="D415" s="1"/>
    </row>
    <row r="416" spans="1:4" x14ac:dyDescent="0.3">
      <c r="A416" s="6"/>
      <c r="B416" s="6"/>
      <c r="C416" s="4"/>
      <c r="D416" s="1"/>
    </row>
    <row r="417" spans="1:4" x14ac:dyDescent="0.3">
      <c r="A417" s="6"/>
      <c r="B417" s="6"/>
      <c r="C417" s="4"/>
      <c r="D417" s="1"/>
    </row>
    <row r="418" spans="1:4" x14ac:dyDescent="0.3">
      <c r="A418" s="6"/>
      <c r="B418" s="6"/>
      <c r="C418" s="4"/>
      <c r="D418" s="1"/>
    </row>
    <row r="419" spans="1:4" x14ac:dyDescent="0.3">
      <c r="A419" s="6"/>
      <c r="B419" s="6"/>
      <c r="C419" s="4"/>
      <c r="D419" s="1"/>
    </row>
    <row r="420" spans="1:4" x14ac:dyDescent="0.3">
      <c r="A420" s="6"/>
      <c r="B420" s="6"/>
      <c r="C420" s="4"/>
      <c r="D420" s="1"/>
    </row>
    <row r="421" spans="1:4" x14ac:dyDescent="0.3">
      <c r="A421" s="6"/>
      <c r="B421" s="6"/>
      <c r="C421" s="4"/>
      <c r="D421" s="1"/>
    </row>
    <row r="422" spans="1:4" x14ac:dyDescent="0.3">
      <c r="A422" s="6"/>
      <c r="B422" s="6"/>
      <c r="C422" s="4"/>
      <c r="D422" s="1"/>
    </row>
    <row r="423" spans="1:4" x14ac:dyDescent="0.3">
      <c r="A423" s="6"/>
      <c r="B423" s="6"/>
      <c r="C423" s="4"/>
      <c r="D423" s="1"/>
    </row>
    <row r="424" spans="1:4" x14ac:dyDescent="0.3">
      <c r="A424" s="6"/>
      <c r="B424" s="6"/>
      <c r="C424" s="4"/>
      <c r="D424" s="1"/>
    </row>
    <row r="425" spans="1:4" x14ac:dyDescent="0.3">
      <c r="A425" s="6"/>
      <c r="B425" s="6"/>
      <c r="C425" s="4"/>
      <c r="D425" s="1"/>
    </row>
    <row r="426" spans="1:4" x14ac:dyDescent="0.3">
      <c r="A426" s="6"/>
      <c r="B426" s="6"/>
      <c r="C426" s="4"/>
      <c r="D426" s="1"/>
    </row>
    <row r="427" spans="1:4" x14ac:dyDescent="0.3">
      <c r="A427" s="6"/>
      <c r="B427" s="6"/>
      <c r="C427" s="4"/>
      <c r="D427" s="1"/>
    </row>
    <row r="428" spans="1:4" x14ac:dyDescent="0.3">
      <c r="A428" s="6"/>
      <c r="B428" s="6"/>
      <c r="C428" s="4"/>
      <c r="D428" s="1"/>
    </row>
    <row r="429" spans="1:4" x14ac:dyDescent="0.3">
      <c r="A429" s="6"/>
      <c r="B429" s="6"/>
      <c r="C429" s="4"/>
      <c r="D429" s="1"/>
    </row>
    <row r="430" spans="1:4" x14ac:dyDescent="0.3">
      <c r="A430" s="6"/>
      <c r="B430" s="6"/>
      <c r="C430" s="4"/>
      <c r="D430" s="1"/>
    </row>
    <row r="431" spans="1:4" x14ac:dyDescent="0.3">
      <c r="A431" s="6"/>
      <c r="B431" s="6"/>
      <c r="C431" s="4"/>
      <c r="D431" s="1"/>
    </row>
    <row r="432" spans="1:4" x14ac:dyDescent="0.3">
      <c r="A432" s="6"/>
      <c r="B432" s="6"/>
      <c r="C432" s="4"/>
      <c r="D432" s="1"/>
    </row>
    <row r="433" spans="1:4" x14ac:dyDescent="0.3">
      <c r="A433" s="6"/>
      <c r="B433" s="6"/>
      <c r="C433" s="4"/>
      <c r="D433" s="1"/>
    </row>
    <row r="434" spans="1:4" x14ac:dyDescent="0.3">
      <c r="A434" s="6"/>
      <c r="B434" s="6"/>
      <c r="C434" s="4"/>
      <c r="D434" s="1"/>
    </row>
    <row r="435" spans="1:4" x14ac:dyDescent="0.3">
      <c r="A435" s="6"/>
      <c r="B435" s="6"/>
      <c r="C435" s="4"/>
      <c r="D435" s="1"/>
    </row>
    <row r="436" spans="1:4" x14ac:dyDescent="0.3">
      <c r="A436" s="6"/>
      <c r="B436" s="6"/>
      <c r="C436" s="4"/>
      <c r="D436" s="1"/>
    </row>
    <row r="437" spans="1:4" x14ac:dyDescent="0.3">
      <c r="A437" s="6"/>
      <c r="B437" s="6"/>
      <c r="C437" s="4"/>
      <c r="D437" s="1"/>
    </row>
    <row r="438" spans="1:4" x14ac:dyDescent="0.3">
      <c r="A438" s="6"/>
      <c r="B438" s="6"/>
      <c r="C438" s="4"/>
      <c r="D438" s="1"/>
    </row>
    <row r="439" spans="1:4" x14ac:dyDescent="0.3">
      <c r="A439" s="6"/>
      <c r="B439" s="6"/>
      <c r="C439" s="4"/>
      <c r="D439" s="1"/>
    </row>
    <row r="440" spans="1:4" x14ac:dyDescent="0.3">
      <c r="A440" s="6"/>
      <c r="B440" s="6"/>
      <c r="C440" s="4"/>
      <c r="D440" s="1"/>
    </row>
    <row r="441" spans="1:4" x14ac:dyDescent="0.3">
      <c r="A441" s="6"/>
      <c r="B441" s="6"/>
      <c r="C441" s="4"/>
      <c r="D441" s="1"/>
    </row>
    <row r="442" spans="1:4" x14ac:dyDescent="0.3">
      <c r="A442" s="6"/>
      <c r="B442" s="6"/>
      <c r="C442" s="4"/>
      <c r="D442" s="1"/>
    </row>
    <row r="443" spans="1:4" x14ac:dyDescent="0.3">
      <c r="A443" s="6"/>
      <c r="B443" s="6"/>
      <c r="C443" s="4"/>
      <c r="D443" s="1"/>
    </row>
    <row r="444" spans="1:4" x14ac:dyDescent="0.3">
      <c r="A444" s="6"/>
      <c r="B444" s="6"/>
      <c r="C444" s="4"/>
      <c r="D444" s="1"/>
    </row>
    <row r="445" spans="1:4" x14ac:dyDescent="0.3">
      <c r="A445" s="6"/>
      <c r="B445" s="6"/>
      <c r="C445" s="4"/>
      <c r="D445" s="1"/>
    </row>
    <row r="446" spans="1:4" x14ac:dyDescent="0.3">
      <c r="A446" s="6"/>
      <c r="B446" s="6"/>
      <c r="C446" s="4"/>
      <c r="D446" s="1"/>
    </row>
    <row r="447" spans="1:4" x14ac:dyDescent="0.3">
      <c r="A447" s="6"/>
      <c r="B447" s="6"/>
      <c r="C447" s="4"/>
      <c r="D447" s="1"/>
    </row>
    <row r="448" spans="1:4" x14ac:dyDescent="0.3">
      <c r="A448" s="6"/>
      <c r="B448" s="6"/>
      <c r="C448" s="4"/>
      <c r="D448" s="1"/>
    </row>
    <row r="449" spans="1:4" x14ac:dyDescent="0.3">
      <c r="A449" s="6"/>
      <c r="B449" s="6"/>
      <c r="C449" s="4"/>
      <c r="D449" s="1"/>
    </row>
    <row r="450" spans="1:4" x14ac:dyDescent="0.3">
      <c r="A450" s="6"/>
      <c r="B450" s="6"/>
      <c r="C450" s="4"/>
      <c r="D450" s="1"/>
    </row>
    <row r="451" spans="1:4" x14ac:dyDescent="0.3">
      <c r="A451" s="6"/>
      <c r="B451" s="6"/>
      <c r="C451" s="4"/>
      <c r="D451" s="1"/>
    </row>
    <row r="452" spans="1:4" x14ac:dyDescent="0.3">
      <c r="A452" s="6"/>
      <c r="B452" s="6"/>
      <c r="C452" s="4"/>
      <c r="D452" s="1"/>
    </row>
    <row r="453" spans="1:4" x14ac:dyDescent="0.3">
      <c r="A453" s="6"/>
      <c r="B453" s="6"/>
      <c r="C453" s="4"/>
      <c r="D453" s="1"/>
    </row>
    <row r="454" spans="1:4" x14ac:dyDescent="0.3">
      <c r="A454" s="6"/>
      <c r="B454" s="6"/>
      <c r="C454" s="4"/>
      <c r="D454" s="1"/>
    </row>
    <row r="455" spans="1:4" x14ac:dyDescent="0.3">
      <c r="A455" s="6"/>
      <c r="B455" s="6"/>
      <c r="C455" s="4"/>
      <c r="D455" s="1"/>
    </row>
    <row r="456" spans="1:4" x14ac:dyDescent="0.3">
      <c r="A456" s="6"/>
      <c r="B456" s="6"/>
      <c r="C456" s="4"/>
      <c r="D456" s="1"/>
    </row>
    <row r="457" spans="1:4" x14ac:dyDescent="0.3">
      <c r="A457" s="6"/>
      <c r="B457" s="6"/>
      <c r="C457" s="4"/>
      <c r="D457" s="1"/>
    </row>
    <row r="458" spans="1:4" x14ac:dyDescent="0.3">
      <c r="A458" s="6"/>
      <c r="B458" s="6"/>
      <c r="C458" s="4"/>
      <c r="D458" s="1"/>
    </row>
    <row r="459" spans="1:4" x14ac:dyDescent="0.3">
      <c r="A459" s="6"/>
      <c r="B459" s="6"/>
      <c r="C459" s="4"/>
      <c r="D459" s="1"/>
    </row>
    <row r="460" spans="1:4" x14ac:dyDescent="0.3">
      <c r="A460" s="6"/>
      <c r="B460" s="6"/>
      <c r="C460" s="4"/>
      <c r="D460" s="1"/>
    </row>
    <row r="461" spans="1:4" x14ac:dyDescent="0.3">
      <c r="A461" s="6"/>
      <c r="B461" s="6"/>
      <c r="C461" s="4"/>
      <c r="D461" s="1"/>
    </row>
    <row r="462" spans="1:4" x14ac:dyDescent="0.3">
      <c r="A462" s="6"/>
      <c r="B462" s="6"/>
      <c r="C462" s="4"/>
      <c r="D462" s="1"/>
    </row>
    <row r="463" spans="1:4" x14ac:dyDescent="0.3">
      <c r="A463" s="6"/>
      <c r="B463" s="6"/>
      <c r="C463" s="4"/>
      <c r="D463" s="1"/>
    </row>
    <row r="464" spans="1:4" x14ac:dyDescent="0.3">
      <c r="A464" s="6"/>
      <c r="B464" s="6"/>
      <c r="C464" s="4"/>
      <c r="D464" s="1"/>
    </row>
    <row r="465" spans="1:4" x14ac:dyDescent="0.3">
      <c r="A465" s="6"/>
      <c r="B465" s="6"/>
      <c r="C465" s="4"/>
      <c r="D465" s="1"/>
    </row>
    <row r="466" spans="1:4" x14ac:dyDescent="0.3">
      <c r="D466" s="1"/>
    </row>
    <row r="467" spans="1:4" x14ac:dyDescent="0.3">
      <c r="D467" s="1"/>
    </row>
    <row r="468" spans="1:4" x14ac:dyDescent="0.3">
      <c r="D468" s="1"/>
    </row>
    <row r="469" spans="1:4" x14ac:dyDescent="0.3">
      <c r="D469" s="1"/>
    </row>
    <row r="470" spans="1:4" x14ac:dyDescent="0.3">
      <c r="D470" s="1"/>
    </row>
    <row r="471" spans="1:4" x14ac:dyDescent="0.3">
      <c r="D471" s="1"/>
    </row>
    <row r="472" spans="1:4" x14ac:dyDescent="0.3">
      <c r="D472" s="1"/>
    </row>
    <row r="473" spans="1:4" x14ac:dyDescent="0.3">
      <c r="D473" s="1"/>
    </row>
    <row r="474" spans="1:4" x14ac:dyDescent="0.3">
      <c r="D474" s="1"/>
    </row>
    <row r="475" spans="1:4" x14ac:dyDescent="0.3">
      <c r="D475" s="1"/>
    </row>
    <row r="476" spans="1:4" x14ac:dyDescent="0.3">
      <c r="D476" s="1"/>
    </row>
    <row r="477" spans="1:4" x14ac:dyDescent="0.3">
      <c r="D477" s="1"/>
    </row>
    <row r="478" spans="1:4" x14ac:dyDescent="0.3">
      <c r="D478" s="1"/>
    </row>
    <row r="479" spans="1:4" x14ac:dyDescent="0.3">
      <c r="D479" s="1"/>
    </row>
    <row r="480" spans="1:4" x14ac:dyDescent="0.3">
      <c r="D480" s="1"/>
    </row>
    <row r="481" spans="4:4" x14ac:dyDescent="0.3">
      <c r="D481" s="1"/>
    </row>
    <row r="482" spans="4:4" x14ac:dyDescent="0.3">
      <c r="D482" s="1"/>
    </row>
    <row r="483" spans="4:4" x14ac:dyDescent="0.3">
      <c r="D483" s="1"/>
    </row>
    <row r="484" spans="4:4" x14ac:dyDescent="0.3">
      <c r="D484" s="1"/>
    </row>
    <row r="485" spans="4:4" x14ac:dyDescent="0.3">
      <c r="D485" s="1"/>
    </row>
    <row r="486" spans="4:4" x14ac:dyDescent="0.3">
      <c r="D486" s="1"/>
    </row>
    <row r="487" spans="4:4" x14ac:dyDescent="0.3">
      <c r="D487" s="1"/>
    </row>
    <row r="488" spans="4:4" x14ac:dyDescent="0.3">
      <c r="D488" s="1"/>
    </row>
    <row r="489" spans="4:4" x14ac:dyDescent="0.3">
      <c r="D489" s="1"/>
    </row>
    <row r="490" spans="4:4" x14ac:dyDescent="0.3">
      <c r="D490" s="1"/>
    </row>
    <row r="491" spans="4:4" x14ac:dyDescent="0.3">
      <c r="D491" s="1"/>
    </row>
    <row r="492" spans="4:4" x14ac:dyDescent="0.3">
      <c r="D492" s="1"/>
    </row>
    <row r="493" spans="4:4" x14ac:dyDescent="0.3">
      <c r="D493" s="1"/>
    </row>
    <row r="494" spans="4:4" x14ac:dyDescent="0.3">
      <c r="D494" s="1"/>
    </row>
    <row r="495" spans="4:4" x14ac:dyDescent="0.3">
      <c r="D495" s="1"/>
    </row>
    <row r="496" spans="4:4" x14ac:dyDescent="0.3">
      <c r="D496" s="1"/>
    </row>
    <row r="497" spans="4:4" x14ac:dyDescent="0.3">
      <c r="D497" s="1"/>
    </row>
    <row r="498" spans="4:4" x14ac:dyDescent="0.3">
      <c r="D498" s="1"/>
    </row>
    <row r="499" spans="4:4" x14ac:dyDescent="0.3">
      <c r="D499" s="1"/>
    </row>
    <row r="500" spans="4:4" x14ac:dyDescent="0.3">
      <c r="D500" s="1"/>
    </row>
    <row r="501" spans="4:4" x14ac:dyDescent="0.3">
      <c r="D501" s="1"/>
    </row>
    <row r="502" spans="4:4" x14ac:dyDescent="0.3">
      <c r="D502" s="1"/>
    </row>
    <row r="503" spans="4:4" x14ac:dyDescent="0.3">
      <c r="D503" s="1"/>
    </row>
    <row r="504" spans="4:4" x14ac:dyDescent="0.3">
      <c r="D504" s="1"/>
    </row>
    <row r="505" spans="4:4" x14ac:dyDescent="0.3">
      <c r="D505" s="1"/>
    </row>
    <row r="506" spans="4:4" x14ac:dyDescent="0.3">
      <c r="D506" s="1"/>
    </row>
    <row r="507" spans="4:4" x14ac:dyDescent="0.3">
      <c r="D507" s="1"/>
    </row>
    <row r="508" spans="4:4" x14ac:dyDescent="0.3">
      <c r="D508" s="1"/>
    </row>
    <row r="509" spans="4:4" x14ac:dyDescent="0.3">
      <c r="D509" s="1"/>
    </row>
    <row r="510" spans="4:4" x14ac:dyDescent="0.3">
      <c r="D510" s="1"/>
    </row>
    <row r="511" spans="4:4" x14ac:dyDescent="0.3">
      <c r="D511" s="1"/>
    </row>
    <row r="512" spans="4:4" x14ac:dyDescent="0.3">
      <c r="D512" s="1"/>
    </row>
    <row r="513" spans="4:4" x14ac:dyDescent="0.3">
      <c r="D513" s="1"/>
    </row>
    <row r="514" spans="4:4" x14ac:dyDescent="0.3">
      <c r="D514" s="1"/>
    </row>
    <row r="515" spans="4:4" x14ac:dyDescent="0.3">
      <c r="D515" s="1"/>
    </row>
    <row r="516" spans="4:4" x14ac:dyDescent="0.3">
      <c r="D516" s="1"/>
    </row>
    <row r="517" spans="4:4" x14ac:dyDescent="0.3">
      <c r="D517" s="1"/>
    </row>
    <row r="518" spans="4:4" x14ac:dyDescent="0.3">
      <c r="D518" s="1"/>
    </row>
    <row r="519" spans="4:4" x14ac:dyDescent="0.3">
      <c r="D519" s="1"/>
    </row>
    <row r="520" spans="4:4" x14ac:dyDescent="0.3">
      <c r="D520" s="1"/>
    </row>
    <row r="521" spans="4:4" x14ac:dyDescent="0.3">
      <c r="D521" s="1"/>
    </row>
    <row r="522" spans="4:4" x14ac:dyDescent="0.3">
      <c r="D522" s="1"/>
    </row>
    <row r="523" spans="4:4" x14ac:dyDescent="0.3">
      <c r="D523" s="1"/>
    </row>
    <row r="524" spans="4:4" x14ac:dyDescent="0.3">
      <c r="D524" s="1"/>
    </row>
    <row r="525" spans="4:4" x14ac:dyDescent="0.3">
      <c r="D525" s="1"/>
    </row>
    <row r="526" spans="4:4" x14ac:dyDescent="0.3">
      <c r="D526" s="1"/>
    </row>
    <row r="527" spans="4:4" x14ac:dyDescent="0.3">
      <c r="D527" s="1"/>
    </row>
    <row r="528" spans="4:4" x14ac:dyDescent="0.3">
      <c r="D528" s="1"/>
    </row>
    <row r="529" spans="4:4" x14ac:dyDescent="0.3">
      <c r="D529" s="1"/>
    </row>
    <row r="530" spans="4:4" x14ac:dyDescent="0.3">
      <c r="D530" s="1"/>
    </row>
    <row r="531" spans="4:4" x14ac:dyDescent="0.3">
      <c r="D531" s="1"/>
    </row>
    <row r="532" spans="4:4" x14ac:dyDescent="0.3">
      <c r="D532" s="1"/>
    </row>
    <row r="533" spans="4:4" x14ac:dyDescent="0.3">
      <c r="D533" s="1"/>
    </row>
    <row r="534" spans="4:4" x14ac:dyDescent="0.3">
      <c r="D534" s="1"/>
    </row>
    <row r="535" spans="4:4" x14ac:dyDescent="0.3">
      <c r="D535" s="1"/>
    </row>
    <row r="536" spans="4:4" x14ac:dyDescent="0.3">
      <c r="D536" s="1"/>
    </row>
    <row r="537" spans="4:4" x14ac:dyDescent="0.3">
      <c r="D537" s="1"/>
    </row>
    <row r="538" spans="4:4" x14ac:dyDescent="0.3">
      <c r="D538" s="1"/>
    </row>
    <row r="539" spans="4:4" x14ac:dyDescent="0.3">
      <c r="D539" s="1"/>
    </row>
    <row r="540" spans="4:4" x14ac:dyDescent="0.3">
      <c r="D540" s="1"/>
    </row>
    <row r="541" spans="4:4" x14ac:dyDescent="0.3">
      <c r="D541" s="1"/>
    </row>
    <row r="542" spans="4:4" x14ac:dyDescent="0.3">
      <c r="D542" s="1"/>
    </row>
    <row r="543" spans="4:4" x14ac:dyDescent="0.3">
      <c r="D543" s="1"/>
    </row>
    <row r="544" spans="4:4" x14ac:dyDescent="0.3">
      <c r="D544" s="1"/>
    </row>
    <row r="545" spans="4:4" x14ac:dyDescent="0.3">
      <c r="D545" s="1"/>
    </row>
    <row r="546" spans="4:4" x14ac:dyDescent="0.3">
      <c r="D546" s="1"/>
    </row>
    <row r="547" spans="4:4" x14ac:dyDescent="0.3">
      <c r="D547" s="1"/>
    </row>
    <row r="548" spans="4:4" x14ac:dyDescent="0.3">
      <c r="D548" s="1"/>
    </row>
    <row r="549" spans="4:4" x14ac:dyDescent="0.3">
      <c r="D549" s="1"/>
    </row>
    <row r="550" spans="4:4" x14ac:dyDescent="0.3">
      <c r="D550" s="1"/>
    </row>
    <row r="551" spans="4:4" x14ac:dyDescent="0.3">
      <c r="D551" s="1"/>
    </row>
    <row r="552" spans="4:4" x14ac:dyDescent="0.3">
      <c r="D552" s="1"/>
    </row>
    <row r="553" spans="4:4" x14ac:dyDescent="0.3">
      <c r="D553" s="1"/>
    </row>
    <row r="554" spans="4:4" x14ac:dyDescent="0.3">
      <c r="D554" s="1"/>
    </row>
    <row r="555" spans="4:4" x14ac:dyDescent="0.3">
      <c r="D555" s="1"/>
    </row>
    <row r="556" spans="4:4" x14ac:dyDescent="0.3">
      <c r="D556" s="1"/>
    </row>
    <row r="557" spans="4:4" x14ac:dyDescent="0.3">
      <c r="D557" s="1"/>
    </row>
    <row r="558" spans="4:4" x14ac:dyDescent="0.3">
      <c r="D558" s="1"/>
    </row>
    <row r="559" spans="4:4" x14ac:dyDescent="0.3">
      <c r="D559" s="1"/>
    </row>
    <row r="560" spans="4:4" x14ac:dyDescent="0.3">
      <c r="D560" s="1"/>
    </row>
    <row r="561" spans="4:4" x14ac:dyDescent="0.3">
      <c r="D561" s="1"/>
    </row>
    <row r="562" spans="4:4" x14ac:dyDescent="0.3">
      <c r="D562" s="1"/>
    </row>
    <row r="563" spans="4:4" x14ac:dyDescent="0.3">
      <c r="D563" s="1"/>
    </row>
    <row r="564" spans="4:4" x14ac:dyDescent="0.3">
      <c r="D564" s="1"/>
    </row>
    <row r="565" spans="4:4" x14ac:dyDescent="0.3">
      <c r="D565" s="1"/>
    </row>
    <row r="566" spans="4:4" x14ac:dyDescent="0.3">
      <c r="D566" s="1"/>
    </row>
    <row r="567" spans="4:4" x14ac:dyDescent="0.3">
      <c r="D567" s="1"/>
    </row>
    <row r="568" spans="4:4" x14ac:dyDescent="0.3">
      <c r="D568" s="1"/>
    </row>
    <row r="569" spans="4:4" x14ac:dyDescent="0.3">
      <c r="D569" s="1"/>
    </row>
    <row r="570" spans="4:4" x14ac:dyDescent="0.3">
      <c r="D570" s="1"/>
    </row>
    <row r="571" spans="4:4" x14ac:dyDescent="0.3">
      <c r="D571" s="1"/>
    </row>
    <row r="572" spans="4:4" x14ac:dyDescent="0.3">
      <c r="D572" s="1"/>
    </row>
    <row r="573" spans="4:4" x14ac:dyDescent="0.3">
      <c r="D573" s="1"/>
    </row>
    <row r="574" spans="4:4" x14ac:dyDescent="0.3">
      <c r="D574" s="1"/>
    </row>
    <row r="575" spans="4:4" x14ac:dyDescent="0.3">
      <c r="D575" s="1"/>
    </row>
    <row r="576" spans="4:4" x14ac:dyDescent="0.3">
      <c r="D576" s="1"/>
    </row>
    <row r="577" spans="4:4" x14ac:dyDescent="0.3">
      <c r="D577" s="1"/>
    </row>
    <row r="578" spans="4:4" x14ac:dyDescent="0.3">
      <c r="D578" s="1"/>
    </row>
    <row r="579" spans="4:4" x14ac:dyDescent="0.3">
      <c r="D579" s="1"/>
    </row>
  </sheetData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"/>
  <sheetViews>
    <sheetView showGridLines="0" view="pageBreakPreview" zoomScale="115" zoomScaleNormal="100" zoomScaleSheetLayoutView="115" workbookViewId="0">
      <selection activeCell="E27" sqref="E27"/>
    </sheetView>
  </sheetViews>
  <sheetFormatPr baseColWidth="10" defaultRowHeight="15" x14ac:dyDescent="0.25"/>
  <cols>
    <col min="1" max="13" width="11.42578125" style="116"/>
    <col min="14" max="14" width="4.28515625" style="116" customWidth="1"/>
    <col min="15" max="16384" width="11.42578125" style="116"/>
  </cols>
  <sheetData>
    <row r="1" spans="1:7" x14ac:dyDescent="0.25">
      <c r="A1" s="116" t="s">
        <v>70</v>
      </c>
      <c r="B1" s="116" t="s">
        <v>71</v>
      </c>
      <c r="C1" s="116" t="s">
        <v>72</v>
      </c>
      <c r="D1" s="116" t="s">
        <v>73</v>
      </c>
    </row>
    <row r="2" spans="1:7" x14ac:dyDescent="0.25">
      <c r="A2" s="117">
        <v>38352</v>
      </c>
      <c r="B2" s="118">
        <v>3.1167407060856114</v>
      </c>
      <c r="C2" s="119"/>
      <c r="D2" s="119">
        <v>22.580153133109953</v>
      </c>
      <c r="G2" s="116" t="s">
        <v>105</v>
      </c>
    </row>
    <row r="3" spans="1:7" x14ac:dyDescent="0.25">
      <c r="A3" s="117">
        <v>38383</v>
      </c>
      <c r="B3" s="118">
        <v>2.9724673816673448</v>
      </c>
      <c r="C3" s="119"/>
      <c r="D3" s="119">
        <v>22.62865685946938</v>
      </c>
      <c r="G3" s="147" t="s">
        <v>104</v>
      </c>
    </row>
    <row r="4" spans="1:7" x14ac:dyDescent="0.25">
      <c r="A4" s="117">
        <v>38411</v>
      </c>
      <c r="B4" s="118">
        <v>2.954151508598033</v>
      </c>
      <c r="C4" s="119"/>
      <c r="D4" s="119">
        <v>22.929183419402477</v>
      </c>
      <c r="G4" s="147" t="s">
        <v>106</v>
      </c>
    </row>
    <row r="5" spans="1:7" x14ac:dyDescent="0.25">
      <c r="A5" s="117">
        <v>38442</v>
      </c>
      <c r="B5" s="118">
        <v>2.3320298238615442</v>
      </c>
      <c r="C5" s="119"/>
      <c r="D5" s="119">
        <v>22.309176977665437</v>
      </c>
    </row>
    <row r="6" spans="1:7" x14ac:dyDescent="0.25">
      <c r="A6" s="117">
        <v>38472</v>
      </c>
      <c r="B6" s="118">
        <v>2.745194202579686</v>
      </c>
      <c r="C6" s="119"/>
      <c r="D6" s="119">
        <v>22.86759870956951</v>
      </c>
    </row>
    <row r="7" spans="1:7" x14ac:dyDescent="0.25">
      <c r="A7" s="117">
        <v>38503</v>
      </c>
      <c r="B7" s="118">
        <v>3.2821660476031123</v>
      </c>
      <c r="C7" s="119"/>
      <c r="D7" s="119">
        <v>23.781201909272152</v>
      </c>
    </row>
    <row r="8" spans="1:7" x14ac:dyDescent="0.25">
      <c r="A8" s="117">
        <v>38533</v>
      </c>
      <c r="B8" s="118">
        <v>3.6837959229867896</v>
      </c>
      <c r="C8" s="119"/>
      <c r="D8" s="119">
        <v>24.836023174221246</v>
      </c>
    </row>
    <row r="9" spans="1:7" x14ac:dyDescent="0.25">
      <c r="A9" s="117">
        <v>38564</v>
      </c>
      <c r="B9" s="118">
        <v>4.3581089796897174</v>
      </c>
      <c r="C9" s="119"/>
      <c r="D9" s="119">
        <v>25.659064911067365</v>
      </c>
    </row>
    <row r="10" spans="1:7" x14ac:dyDescent="0.25">
      <c r="A10" s="117">
        <v>38595</v>
      </c>
      <c r="B10" s="118">
        <v>4.5094790684182211</v>
      </c>
      <c r="C10" s="119"/>
      <c r="D10" s="119">
        <v>25.864656356801515</v>
      </c>
    </row>
    <row r="11" spans="1:7" x14ac:dyDescent="0.25">
      <c r="A11" s="117">
        <v>38625</v>
      </c>
      <c r="B11" s="118">
        <v>5.5503611506263137</v>
      </c>
      <c r="C11" s="119"/>
      <c r="D11" s="119">
        <v>26.612933470983503</v>
      </c>
    </row>
    <row r="12" spans="1:7" x14ac:dyDescent="0.25">
      <c r="A12" s="117">
        <v>38656</v>
      </c>
      <c r="B12" s="118">
        <v>5.5164791639672632</v>
      </c>
      <c r="C12" s="119"/>
      <c r="D12" s="119">
        <v>26.177585802667647</v>
      </c>
    </row>
    <row r="13" spans="1:7" x14ac:dyDescent="0.25">
      <c r="A13" s="117">
        <v>38686</v>
      </c>
      <c r="B13" s="118">
        <v>5.8158837502676271</v>
      </c>
      <c r="C13" s="119"/>
      <c r="D13" s="119">
        <v>26.288458006233896</v>
      </c>
    </row>
    <row r="14" spans="1:7" x14ac:dyDescent="0.25">
      <c r="A14" s="117">
        <v>38717</v>
      </c>
      <c r="B14" s="118">
        <v>6.0410644494816186</v>
      </c>
      <c r="C14" s="119"/>
      <c r="D14" s="119">
        <v>25.285366292774498</v>
      </c>
    </row>
    <row r="15" spans="1:7" x14ac:dyDescent="0.25">
      <c r="A15" s="117">
        <v>38748</v>
      </c>
      <c r="B15" s="118">
        <v>6.6137907457603271</v>
      </c>
      <c r="C15" s="119"/>
      <c r="D15" s="119">
        <v>26.077037433841564</v>
      </c>
    </row>
    <row r="16" spans="1:7" x14ac:dyDescent="0.25">
      <c r="A16" s="117">
        <v>38776</v>
      </c>
      <c r="B16" s="118">
        <v>6.9913486234747735</v>
      </c>
      <c r="C16" s="119"/>
      <c r="D16" s="119">
        <v>26.027025738470737</v>
      </c>
    </row>
    <row r="17" spans="1:15" x14ac:dyDescent="0.25">
      <c r="A17" s="117">
        <v>38807</v>
      </c>
      <c r="B17" s="118">
        <v>6.8730194475910054</v>
      </c>
      <c r="C17" s="119"/>
      <c r="D17" s="119">
        <v>26.294063633056485</v>
      </c>
    </row>
    <row r="18" spans="1:15" x14ac:dyDescent="0.25">
      <c r="A18" s="117">
        <v>38837</v>
      </c>
      <c r="B18" s="118">
        <v>6.3020721391803542</v>
      </c>
      <c r="C18" s="119"/>
      <c r="D18" s="119">
        <v>26.343674042642444</v>
      </c>
    </row>
    <row r="19" spans="1:15" x14ac:dyDescent="0.25">
      <c r="A19" s="117">
        <v>38868</v>
      </c>
      <c r="B19" s="118">
        <v>5.6182672857993365</v>
      </c>
      <c r="C19" s="119"/>
      <c r="D19" s="119">
        <v>24.132943626416104</v>
      </c>
    </row>
    <row r="20" spans="1:15" x14ac:dyDescent="0.25">
      <c r="A20" s="117">
        <v>38898</v>
      </c>
      <c r="B20" s="118">
        <v>4.1434695191930597</v>
      </c>
      <c r="C20" s="119"/>
      <c r="D20" s="119">
        <v>22.105228443685</v>
      </c>
    </row>
    <row r="21" spans="1:15" x14ac:dyDescent="0.25">
      <c r="A21" s="117">
        <v>38929</v>
      </c>
      <c r="B21" s="118">
        <v>3.6738786663898351</v>
      </c>
      <c r="C21" s="119"/>
      <c r="D21" s="119">
        <v>22.185445694766511</v>
      </c>
    </row>
    <row r="22" spans="1:15" x14ac:dyDescent="0.25">
      <c r="A22" s="117">
        <v>38960</v>
      </c>
      <c r="B22" s="118">
        <v>3.6804547581338736</v>
      </c>
      <c r="C22" s="119"/>
      <c r="D22" s="119">
        <v>22.514137117532343</v>
      </c>
      <c r="G22" s="167" t="s">
        <v>74</v>
      </c>
      <c r="H22" s="167"/>
      <c r="I22" s="167"/>
      <c r="J22" s="167"/>
      <c r="K22" s="167"/>
      <c r="L22" s="167"/>
      <c r="M22" s="167"/>
      <c r="N22" s="167"/>
      <c r="O22" s="167"/>
    </row>
    <row r="23" spans="1:15" x14ac:dyDescent="0.25">
      <c r="A23" s="117">
        <v>38990</v>
      </c>
      <c r="B23" s="118">
        <v>2.4104601124675757</v>
      </c>
      <c r="C23" s="119"/>
      <c r="D23" s="119">
        <v>21.84263061245046</v>
      </c>
    </row>
    <row r="24" spans="1:15" x14ac:dyDescent="0.25">
      <c r="A24" s="117">
        <v>39021</v>
      </c>
      <c r="B24" s="118">
        <v>2.6898931844954714</v>
      </c>
      <c r="C24" s="119"/>
      <c r="D24" s="119">
        <v>22.326070752962078</v>
      </c>
    </row>
    <row r="25" spans="1:15" x14ac:dyDescent="0.25">
      <c r="A25" s="117">
        <v>39051</v>
      </c>
      <c r="B25" s="118">
        <v>2.3234646560912617</v>
      </c>
      <c r="C25" s="119"/>
      <c r="D25" s="119">
        <v>21.822169922475336</v>
      </c>
    </row>
    <row r="26" spans="1:15" x14ac:dyDescent="0.25">
      <c r="A26" s="117">
        <v>39082</v>
      </c>
      <c r="B26" s="118">
        <v>1.963453923019912</v>
      </c>
      <c r="C26" s="119"/>
      <c r="D26" s="119">
        <v>22.541181952975844</v>
      </c>
    </row>
    <row r="27" spans="1:15" x14ac:dyDescent="0.25">
      <c r="A27" s="117">
        <v>39113</v>
      </c>
      <c r="B27" s="118">
        <v>0.55884709863167503</v>
      </c>
      <c r="C27" s="119"/>
      <c r="D27" s="119">
        <v>21.63108479312212</v>
      </c>
    </row>
    <row r="28" spans="1:15" x14ac:dyDescent="0.25">
      <c r="A28" s="117">
        <v>39141</v>
      </c>
      <c r="B28" s="118">
        <v>-0.72464470207513454</v>
      </c>
      <c r="C28" s="119"/>
      <c r="D28" s="119">
        <v>20.415811250481184</v>
      </c>
    </row>
    <row r="29" spans="1:15" x14ac:dyDescent="0.25">
      <c r="A29" s="117">
        <v>39172</v>
      </c>
      <c r="B29" s="118">
        <v>-0.43694509119376407</v>
      </c>
      <c r="C29" s="119"/>
      <c r="D29" s="119">
        <v>20.464204546063065</v>
      </c>
    </row>
    <row r="30" spans="1:15" x14ac:dyDescent="0.25">
      <c r="A30" s="117">
        <v>39202</v>
      </c>
      <c r="B30" s="118">
        <v>-0.18071764195456608</v>
      </c>
      <c r="C30" s="119"/>
      <c r="D30" s="119">
        <v>19.435756828239121</v>
      </c>
    </row>
    <row r="31" spans="1:15" x14ac:dyDescent="0.25">
      <c r="A31" s="117">
        <v>39233</v>
      </c>
      <c r="B31" s="118">
        <v>0.15870430706085964</v>
      </c>
      <c r="C31" s="119"/>
      <c r="D31" s="119">
        <v>21.231071669105205</v>
      </c>
    </row>
    <row r="32" spans="1:15" x14ac:dyDescent="0.25">
      <c r="A32" s="117">
        <v>39263</v>
      </c>
      <c r="B32" s="118">
        <v>0.58667091402779536</v>
      </c>
      <c r="C32" s="119"/>
      <c r="D32" s="119">
        <v>22.462624028561599</v>
      </c>
    </row>
    <row r="33" spans="1:4" x14ac:dyDescent="0.25">
      <c r="A33" s="117">
        <v>39294</v>
      </c>
      <c r="B33" s="118">
        <v>1.9071298090088113</v>
      </c>
      <c r="C33" s="119"/>
      <c r="D33" s="119">
        <v>22.259066959382874</v>
      </c>
    </row>
    <row r="34" spans="1:4" x14ac:dyDescent="0.25">
      <c r="A34" s="117">
        <v>39325</v>
      </c>
      <c r="B34" s="118">
        <v>1.7640027795893014</v>
      </c>
      <c r="C34" s="119"/>
      <c r="D34" s="119">
        <v>21.449398331946259</v>
      </c>
    </row>
    <row r="35" spans="1:4" x14ac:dyDescent="0.25">
      <c r="A35" s="117">
        <v>39355</v>
      </c>
      <c r="B35" s="118">
        <v>1.9217449973996079</v>
      </c>
      <c r="C35" s="119"/>
      <c r="D35" s="119">
        <v>20.935144334851515</v>
      </c>
    </row>
    <row r="36" spans="1:4" x14ac:dyDescent="0.25">
      <c r="A36" s="117">
        <v>39386</v>
      </c>
      <c r="B36" s="118">
        <v>2.2257154745570387</v>
      </c>
      <c r="C36" s="119"/>
      <c r="D36" s="119">
        <v>20.966082864842651</v>
      </c>
    </row>
    <row r="37" spans="1:4" x14ac:dyDescent="0.25">
      <c r="A37" s="117">
        <v>39416</v>
      </c>
      <c r="B37" s="118">
        <v>3.0632772242227198</v>
      </c>
      <c r="C37" s="119"/>
      <c r="D37" s="119">
        <v>21.402765228411205</v>
      </c>
    </row>
    <row r="38" spans="1:4" x14ac:dyDescent="0.25">
      <c r="A38" s="117">
        <v>39447</v>
      </c>
      <c r="B38" s="118">
        <v>2.9504823157272564</v>
      </c>
      <c r="C38" s="119"/>
      <c r="D38" s="119">
        <v>20.789558415087392</v>
      </c>
    </row>
    <row r="39" spans="1:4" x14ac:dyDescent="0.25">
      <c r="A39" s="117">
        <v>39478</v>
      </c>
      <c r="B39" s="118">
        <v>2.6840054779428097</v>
      </c>
      <c r="C39" s="119"/>
      <c r="D39" s="119">
        <v>19.414667711558604</v>
      </c>
    </row>
    <row r="40" spans="1:4" x14ac:dyDescent="0.25">
      <c r="A40" s="117">
        <v>39507</v>
      </c>
      <c r="B40" s="118">
        <v>2.9337749516677745</v>
      </c>
      <c r="C40" s="119"/>
      <c r="D40" s="119">
        <v>20.162386751743337</v>
      </c>
    </row>
    <row r="41" spans="1:4" x14ac:dyDescent="0.25">
      <c r="A41" s="117">
        <v>39538</v>
      </c>
      <c r="B41" s="118">
        <v>2.6084591995714317</v>
      </c>
      <c r="C41" s="119"/>
      <c r="D41" s="119">
        <v>20.216484509265907</v>
      </c>
    </row>
    <row r="42" spans="1:4" x14ac:dyDescent="0.25">
      <c r="A42" s="117">
        <v>39568</v>
      </c>
      <c r="B42" s="118">
        <v>3.1247519520504308</v>
      </c>
      <c r="C42" s="119"/>
      <c r="D42" s="119">
        <v>21.731610524197318</v>
      </c>
    </row>
    <row r="43" spans="1:4" x14ac:dyDescent="0.25">
      <c r="A43" s="117">
        <v>39599</v>
      </c>
      <c r="B43" s="118">
        <v>3.2336994172549955</v>
      </c>
      <c r="C43" s="119"/>
      <c r="D43" s="119">
        <v>21.684127865832519</v>
      </c>
    </row>
    <row r="44" spans="1:4" x14ac:dyDescent="0.25">
      <c r="A44" s="117">
        <v>39629</v>
      </c>
      <c r="B44" s="118">
        <v>3.7796785418586469</v>
      </c>
      <c r="C44" s="119"/>
      <c r="D44" s="119">
        <v>20.753578621175638</v>
      </c>
    </row>
    <row r="45" spans="1:4" x14ac:dyDescent="0.25">
      <c r="A45" s="117">
        <v>39660</v>
      </c>
      <c r="B45" s="118">
        <v>2.4471625715726586</v>
      </c>
      <c r="C45" s="119"/>
      <c r="D45" s="119">
        <v>20.505977035798743</v>
      </c>
    </row>
    <row r="46" spans="1:4" x14ac:dyDescent="0.25">
      <c r="A46" s="117">
        <v>39691</v>
      </c>
      <c r="B46" s="118">
        <v>2.4520989578643833</v>
      </c>
      <c r="C46" s="119"/>
      <c r="D46" s="119">
        <v>21.577086807738667</v>
      </c>
    </row>
    <row r="47" spans="1:4" x14ac:dyDescent="0.25">
      <c r="A47" s="117">
        <v>39721</v>
      </c>
      <c r="B47" s="118">
        <v>2.7234038890342105</v>
      </c>
      <c r="C47" s="119"/>
      <c r="D47" s="119">
        <v>21.041849306467615</v>
      </c>
    </row>
    <row r="48" spans="1:4" x14ac:dyDescent="0.25">
      <c r="A48" s="117">
        <v>39752</v>
      </c>
      <c r="B48" s="118">
        <v>1.9241381495093526</v>
      </c>
      <c r="C48" s="119"/>
      <c r="D48" s="119">
        <v>18.468351645517004</v>
      </c>
    </row>
    <row r="49" spans="1:4" x14ac:dyDescent="0.25">
      <c r="A49" s="117">
        <v>39782</v>
      </c>
      <c r="B49" s="118">
        <v>1.0908349330851461</v>
      </c>
      <c r="C49" s="119"/>
      <c r="D49" s="119">
        <v>18.492445647227612</v>
      </c>
    </row>
    <row r="50" spans="1:4" x14ac:dyDescent="0.25">
      <c r="A50" s="117">
        <v>39813</v>
      </c>
      <c r="B50" s="118">
        <v>1.2467569495013882</v>
      </c>
      <c r="C50" s="119"/>
      <c r="D50" s="119">
        <v>19.177365260617275</v>
      </c>
    </row>
    <row r="51" spans="1:4" x14ac:dyDescent="0.25">
      <c r="A51" s="117">
        <v>39844</v>
      </c>
      <c r="B51" s="118">
        <v>2.238254609001499</v>
      </c>
      <c r="C51" s="118"/>
      <c r="D51" s="119">
        <v>21.245149174185954</v>
      </c>
    </row>
    <row r="52" spans="1:4" x14ac:dyDescent="0.25">
      <c r="A52" s="117">
        <v>39872</v>
      </c>
      <c r="B52" s="118">
        <v>2.5645060960621593</v>
      </c>
      <c r="C52" s="118"/>
      <c r="D52" s="119">
        <v>21.397887128441102</v>
      </c>
    </row>
    <row r="53" spans="1:4" x14ac:dyDescent="0.25">
      <c r="A53" s="117">
        <v>39903</v>
      </c>
      <c r="B53" s="118">
        <v>2.8743673980279452</v>
      </c>
      <c r="C53" s="118"/>
      <c r="D53" s="119">
        <v>22.057892587695402</v>
      </c>
    </row>
    <row r="54" spans="1:4" x14ac:dyDescent="0.25">
      <c r="A54" s="117">
        <v>39933</v>
      </c>
      <c r="B54" s="118">
        <v>2.9778413268224004</v>
      </c>
      <c r="C54" s="118"/>
      <c r="D54" s="119">
        <v>22.03396239416206</v>
      </c>
    </row>
    <row r="55" spans="1:4" x14ac:dyDescent="0.25">
      <c r="A55" s="117">
        <v>39964</v>
      </c>
      <c r="B55" s="118">
        <v>3.2995386081820115</v>
      </c>
      <c r="C55" s="118"/>
      <c r="D55" s="119">
        <v>22.57117081670226</v>
      </c>
    </row>
    <row r="56" spans="1:4" x14ac:dyDescent="0.25">
      <c r="A56" s="117">
        <v>39994</v>
      </c>
      <c r="B56" s="118">
        <v>3.2258326120169416</v>
      </c>
      <c r="C56" s="118"/>
      <c r="D56" s="119">
        <v>23.125122199202039</v>
      </c>
    </row>
    <row r="57" spans="1:4" x14ac:dyDescent="0.25">
      <c r="A57" s="117">
        <v>40025</v>
      </c>
      <c r="B57" s="118">
        <v>3.2451146819279741</v>
      </c>
      <c r="C57" s="118"/>
      <c r="D57" s="119">
        <v>23.639532736488192</v>
      </c>
    </row>
    <row r="58" spans="1:4" x14ac:dyDescent="0.25">
      <c r="A58" s="117">
        <v>40056</v>
      </c>
      <c r="B58" s="118">
        <v>2.9775448975469456</v>
      </c>
      <c r="C58" s="118"/>
      <c r="D58" s="119">
        <v>24.03347713624057</v>
      </c>
    </row>
    <row r="59" spans="1:4" x14ac:dyDescent="0.25">
      <c r="A59" s="117">
        <v>40086</v>
      </c>
      <c r="B59" s="118">
        <v>2.9480011884703541</v>
      </c>
      <c r="C59" s="118"/>
      <c r="D59" s="119">
        <v>25.428821711918946</v>
      </c>
    </row>
    <row r="60" spans="1:4" x14ac:dyDescent="0.25">
      <c r="A60" s="117">
        <v>40117</v>
      </c>
      <c r="B60" s="118">
        <v>3.28157441393423</v>
      </c>
      <c r="C60" s="118"/>
      <c r="D60" s="119">
        <v>26.950850783852449</v>
      </c>
    </row>
    <row r="61" spans="1:4" x14ac:dyDescent="0.25">
      <c r="A61" s="117">
        <v>40147</v>
      </c>
      <c r="B61" s="118">
        <v>3.5550850272701227</v>
      </c>
      <c r="C61" s="118"/>
      <c r="D61" s="119">
        <v>26.867048776890602</v>
      </c>
    </row>
    <row r="62" spans="1:4" x14ac:dyDescent="0.25">
      <c r="A62" s="117">
        <v>40178</v>
      </c>
      <c r="B62" s="118">
        <v>3.1799674034681513</v>
      </c>
      <c r="C62" s="118">
        <v>22.340199765623318</v>
      </c>
      <c r="D62" s="119">
        <v>26.39030929660499</v>
      </c>
    </row>
    <row r="63" spans="1:4" x14ac:dyDescent="0.25">
      <c r="A63" s="117">
        <v>40209</v>
      </c>
      <c r="B63" s="118">
        <v>2.823189069991761</v>
      </c>
      <c r="C63" s="118">
        <v>21.097299866566136</v>
      </c>
      <c r="D63" s="119">
        <v>24.712819359597095</v>
      </c>
    </row>
    <row r="64" spans="1:4" x14ac:dyDescent="0.25">
      <c r="A64" s="117">
        <v>40237</v>
      </c>
      <c r="B64" s="118">
        <v>2.832422944686682</v>
      </c>
      <c r="C64" s="118">
        <v>20.478242404167208</v>
      </c>
      <c r="D64" s="119">
        <v>24.034723116074115</v>
      </c>
    </row>
    <row r="65" spans="1:4" x14ac:dyDescent="0.25">
      <c r="A65" s="117">
        <v>40268</v>
      </c>
      <c r="B65" s="118">
        <v>2.8276735413148018</v>
      </c>
      <c r="C65" s="118">
        <v>20.521285333183581</v>
      </c>
      <c r="D65" s="119">
        <v>23.678061053040818</v>
      </c>
    </row>
    <row r="66" spans="1:4" x14ac:dyDescent="0.25">
      <c r="A66" s="117">
        <v>40298</v>
      </c>
      <c r="B66" s="118">
        <v>2.5290055049708484</v>
      </c>
      <c r="C66" s="118">
        <v>19.938443833491181</v>
      </c>
      <c r="D66" s="119">
        <v>23.122272159388622</v>
      </c>
    </row>
    <row r="67" spans="1:4" x14ac:dyDescent="0.25">
      <c r="A67" s="117">
        <v>40329</v>
      </c>
      <c r="B67" s="118">
        <v>2.456949097545694</v>
      </c>
      <c r="C67" s="118">
        <v>19.792977054408144</v>
      </c>
      <c r="D67" s="119">
        <v>22.275738486917536</v>
      </c>
    </row>
    <row r="68" spans="1:4" x14ac:dyDescent="0.25">
      <c r="A68" s="117">
        <v>40359</v>
      </c>
      <c r="B68" s="118">
        <v>2.6251868335169104</v>
      </c>
      <c r="C68" s="118">
        <v>20.240089465783779</v>
      </c>
      <c r="D68" s="119">
        <v>22.322275229713682</v>
      </c>
    </row>
    <row r="69" spans="1:4" x14ac:dyDescent="0.25">
      <c r="A69" s="117">
        <v>40390</v>
      </c>
      <c r="B69" s="118">
        <v>2.6299082126376772</v>
      </c>
      <c r="C69" s="118">
        <v>20.547682761902774</v>
      </c>
      <c r="D69" s="119">
        <v>22.90183304427303</v>
      </c>
    </row>
    <row r="70" spans="1:4" x14ac:dyDescent="0.25">
      <c r="A70" s="117">
        <v>40421</v>
      </c>
      <c r="B70" s="118">
        <v>2.9730997452152077</v>
      </c>
      <c r="C70" s="118">
        <v>21.122194142370642</v>
      </c>
      <c r="D70" s="119">
        <v>22.643979968182702</v>
      </c>
    </row>
    <row r="71" spans="1:4" x14ac:dyDescent="0.25">
      <c r="A71" s="117">
        <v>40451</v>
      </c>
      <c r="B71" s="118">
        <v>2.8490169491357356</v>
      </c>
      <c r="C71" s="118">
        <v>20.997090489633774</v>
      </c>
      <c r="D71" s="119">
        <v>22.374440638741596</v>
      </c>
    </row>
    <row r="72" spans="1:4" x14ac:dyDescent="0.25">
      <c r="A72" s="117">
        <v>40482</v>
      </c>
      <c r="B72" s="118">
        <v>2.9625232793502123</v>
      </c>
      <c r="C72" s="118">
        <v>20.719328932634586</v>
      </c>
      <c r="D72" s="119">
        <v>22.690017177890674</v>
      </c>
    </row>
    <row r="73" spans="1:4" x14ac:dyDescent="0.25">
      <c r="A73" s="117">
        <v>40512</v>
      </c>
      <c r="B73" s="118">
        <v>2.660729414862542</v>
      </c>
      <c r="C73" s="118">
        <v>20.170634667025983</v>
      </c>
      <c r="D73" s="119">
        <v>20.779737033183721</v>
      </c>
    </row>
    <row r="74" spans="1:4" x14ac:dyDescent="0.25">
      <c r="A74" s="117">
        <v>40543</v>
      </c>
      <c r="B74" s="118">
        <v>2.7815289941104595</v>
      </c>
      <c r="C74" s="118">
        <v>19.351896012928979</v>
      </c>
      <c r="D74" s="119">
        <v>20.200255147897678</v>
      </c>
    </row>
    <row r="75" spans="1:4" x14ac:dyDescent="0.25">
      <c r="A75" s="117">
        <v>40574</v>
      </c>
      <c r="B75" s="118">
        <v>2.6376086720410958</v>
      </c>
      <c r="C75" s="118">
        <v>19.378826485444709</v>
      </c>
      <c r="D75" s="119">
        <v>19.998575745189758</v>
      </c>
    </row>
    <row r="76" spans="1:4" x14ac:dyDescent="0.25">
      <c r="A76" s="117">
        <v>40602</v>
      </c>
      <c r="B76" s="118">
        <v>2.2875472971045339</v>
      </c>
      <c r="C76" s="118">
        <v>19.121085447325232</v>
      </c>
      <c r="D76" s="119">
        <v>19.5436662351145</v>
      </c>
    </row>
    <row r="77" spans="1:4" x14ac:dyDescent="0.25">
      <c r="A77" s="117">
        <v>40633</v>
      </c>
      <c r="B77" s="118">
        <v>2.4383882505224088</v>
      </c>
      <c r="C77" s="118">
        <v>18.946524633146986</v>
      </c>
      <c r="D77" s="119">
        <v>18.44775762528095</v>
      </c>
    </row>
    <row r="78" spans="1:4" x14ac:dyDescent="0.25">
      <c r="A78" s="117">
        <v>40663</v>
      </c>
      <c r="B78" s="118">
        <v>2.3751381518125934</v>
      </c>
      <c r="C78" s="118">
        <v>18.514173252343941</v>
      </c>
      <c r="D78" s="119">
        <v>17.812505852706956</v>
      </c>
    </row>
    <row r="79" spans="1:4" x14ac:dyDescent="0.25">
      <c r="A79" s="117">
        <v>40694</v>
      </c>
      <c r="B79" s="118">
        <v>2.5370128009746162</v>
      </c>
      <c r="C79" s="118">
        <v>18.348790114936701</v>
      </c>
      <c r="D79" s="119">
        <v>18.067221059465034</v>
      </c>
    </row>
    <row r="80" spans="1:4" x14ac:dyDescent="0.25">
      <c r="A80" s="117">
        <v>40724</v>
      </c>
      <c r="B80" s="118">
        <v>2.6327244374459129</v>
      </c>
      <c r="C80" s="118">
        <v>18.212285062614161</v>
      </c>
      <c r="D80" s="119">
        <v>17.197483064826226</v>
      </c>
    </row>
    <row r="81" spans="1:4" x14ac:dyDescent="0.25">
      <c r="A81" s="117">
        <v>40755</v>
      </c>
      <c r="B81" s="118">
        <v>2.425116708471466</v>
      </c>
      <c r="C81" s="118">
        <v>17.830372946381413</v>
      </c>
      <c r="D81" s="119">
        <v>15.518078849953787</v>
      </c>
    </row>
    <row r="82" spans="1:4" x14ac:dyDescent="0.25">
      <c r="A82" s="117">
        <v>40786</v>
      </c>
      <c r="B82" s="118">
        <v>2.1137279228313872</v>
      </c>
      <c r="C82" s="118">
        <v>17.838695923695312</v>
      </c>
      <c r="D82" s="119">
        <v>14.390372715680172</v>
      </c>
    </row>
    <row r="83" spans="1:4" x14ac:dyDescent="0.25">
      <c r="A83" s="117">
        <v>40816</v>
      </c>
      <c r="B83" s="118">
        <v>1.8996971011974335</v>
      </c>
      <c r="C83" s="118">
        <v>17.698746054834512</v>
      </c>
      <c r="D83" s="119">
        <v>13.10659958113572</v>
      </c>
    </row>
    <row r="84" spans="1:4" x14ac:dyDescent="0.25">
      <c r="A84" s="117">
        <v>40847</v>
      </c>
      <c r="B84" s="118">
        <v>1.7291691443534101</v>
      </c>
      <c r="C84" s="118">
        <v>17.452167052269125</v>
      </c>
      <c r="D84" s="119">
        <v>12.676156295307548</v>
      </c>
    </row>
    <row r="85" spans="1:4" x14ac:dyDescent="0.25">
      <c r="A85" s="117">
        <v>40877</v>
      </c>
      <c r="B85" s="118">
        <v>1.6466458204118468</v>
      </c>
      <c r="C85" s="118">
        <v>17.381444331166492</v>
      </c>
      <c r="D85" s="119">
        <v>13.236666981186193</v>
      </c>
    </row>
    <row r="86" spans="1:4" x14ac:dyDescent="0.25">
      <c r="A86" s="117">
        <v>40908</v>
      </c>
      <c r="B86" s="118">
        <v>1.7344434436542948</v>
      </c>
      <c r="C86" s="118">
        <v>17.776773445183622</v>
      </c>
      <c r="D86" s="119">
        <v>13.109520317062614</v>
      </c>
    </row>
    <row r="87" spans="1:4" x14ac:dyDescent="0.25">
      <c r="A87" s="117">
        <v>40939</v>
      </c>
      <c r="B87" s="118">
        <v>2.0384414523972834</v>
      </c>
      <c r="C87" s="118">
        <v>18.194083354969802</v>
      </c>
      <c r="D87" s="119">
        <v>13.627739935264813</v>
      </c>
    </row>
    <row r="88" spans="1:4" x14ac:dyDescent="0.25">
      <c r="A88" s="117">
        <v>40968</v>
      </c>
      <c r="B88" s="118">
        <v>2.2068079334854458</v>
      </c>
      <c r="C88" s="118">
        <v>18.746160921387371</v>
      </c>
      <c r="D88" s="119">
        <v>14.490849121514634</v>
      </c>
    </row>
    <row r="89" spans="1:4" x14ac:dyDescent="0.25">
      <c r="A89" s="117">
        <v>40999</v>
      </c>
      <c r="B89" s="118">
        <v>1.9906761325595059</v>
      </c>
      <c r="C89" s="118">
        <v>18.905518515681269</v>
      </c>
      <c r="D89" s="119">
        <v>15.085317579401453</v>
      </c>
    </row>
    <row r="90" spans="1:4" x14ac:dyDescent="0.25">
      <c r="A90" s="117">
        <v>41029</v>
      </c>
      <c r="B90" s="118">
        <v>1.889105418463769</v>
      </c>
      <c r="C90" s="118">
        <v>19.277546387432281</v>
      </c>
      <c r="D90" s="119">
        <v>15.566254637182681</v>
      </c>
    </row>
    <row r="91" spans="1:4" x14ac:dyDescent="0.25">
      <c r="A91" s="117">
        <v>41060</v>
      </c>
      <c r="B91" s="118">
        <v>1.623881900123431</v>
      </c>
      <c r="C91" s="118">
        <v>19.103654433341418</v>
      </c>
      <c r="D91" s="119">
        <v>14.542037349963257</v>
      </c>
    </row>
    <row r="92" spans="1:4" x14ac:dyDescent="0.25">
      <c r="A92" s="117">
        <v>41090</v>
      </c>
      <c r="B92" s="118">
        <v>1.3568842137026782</v>
      </c>
      <c r="C92" s="118">
        <v>19.085036397088579</v>
      </c>
      <c r="D92" s="119">
        <v>14.365352964029407</v>
      </c>
    </row>
    <row r="93" spans="1:4" x14ac:dyDescent="0.25">
      <c r="A93" s="117">
        <v>41121</v>
      </c>
      <c r="B93" s="118">
        <v>1.4799848704127743</v>
      </c>
      <c r="C93" s="118">
        <v>19.58131181224622</v>
      </c>
      <c r="D93" s="119">
        <v>14.692717274547535</v>
      </c>
    </row>
    <row r="94" spans="1:4" x14ac:dyDescent="0.25">
      <c r="A94" s="117">
        <v>41152</v>
      </c>
      <c r="B94" s="118">
        <v>1.55081272270458</v>
      </c>
      <c r="C94" s="118">
        <v>19.357287958673584</v>
      </c>
      <c r="D94" s="119">
        <v>14.896208712355689</v>
      </c>
    </row>
    <row r="95" spans="1:4" x14ac:dyDescent="0.25">
      <c r="A95" s="117">
        <v>41182</v>
      </c>
      <c r="B95" s="118">
        <v>1.7166443208176425</v>
      </c>
      <c r="C95" s="118">
        <v>19.836368083947519</v>
      </c>
      <c r="D95" s="119">
        <v>15.493569313389829</v>
      </c>
    </row>
    <row r="96" spans="1:4" x14ac:dyDescent="0.25">
      <c r="A96" s="117">
        <v>41213</v>
      </c>
      <c r="B96" s="118">
        <v>1.3152828286001799</v>
      </c>
      <c r="C96" s="118">
        <v>19.932257916901104</v>
      </c>
      <c r="D96" s="119">
        <v>16.180834093759021</v>
      </c>
    </row>
    <row r="97" spans="1:4" x14ac:dyDescent="0.25">
      <c r="A97" s="117">
        <v>41243</v>
      </c>
      <c r="B97" s="118">
        <v>1.4323408302770408</v>
      </c>
      <c r="C97" s="118">
        <v>19.623408062957978</v>
      </c>
      <c r="D97" s="119">
        <v>16.340317452875489</v>
      </c>
    </row>
    <row r="98" spans="1:4" x14ac:dyDescent="0.25">
      <c r="A98" s="117">
        <v>41274</v>
      </c>
      <c r="B98" s="118">
        <v>1.1103533874529878</v>
      </c>
      <c r="C98" s="118">
        <v>19.07410451744741</v>
      </c>
      <c r="D98" s="119">
        <v>16.174869792336725</v>
      </c>
    </row>
    <row r="99" spans="1:4" x14ac:dyDescent="0.25">
      <c r="A99" s="117">
        <v>41305</v>
      </c>
      <c r="B99" s="118">
        <v>1.169005606103767</v>
      </c>
      <c r="C99" s="118">
        <v>19.031701159817793</v>
      </c>
      <c r="D99" s="119">
        <v>17.050106080431956</v>
      </c>
    </row>
    <row r="100" spans="1:4" x14ac:dyDescent="0.25">
      <c r="A100" s="117">
        <v>41333</v>
      </c>
      <c r="B100" s="118">
        <v>1.3116156691450405</v>
      </c>
      <c r="C100" s="118">
        <v>18.948777911006431</v>
      </c>
      <c r="D100" s="119">
        <v>17.022076157520612</v>
      </c>
    </row>
    <row r="101" spans="1:4" x14ac:dyDescent="0.25">
      <c r="A101" s="117">
        <v>41364</v>
      </c>
      <c r="B101" s="118">
        <v>1.4135197812994247</v>
      </c>
      <c r="C101" s="118">
        <v>20.044407828439478</v>
      </c>
      <c r="D101" s="119">
        <v>16.388276831750321</v>
      </c>
    </row>
    <row r="102" spans="1:4" x14ac:dyDescent="0.25">
      <c r="A102" s="117">
        <v>41394</v>
      </c>
      <c r="B102" s="118">
        <v>1.5003705179651057</v>
      </c>
      <c r="C102" s="118">
        <v>19.768366255005585</v>
      </c>
      <c r="D102" s="119">
        <v>15.013337014619754</v>
      </c>
    </row>
    <row r="103" spans="1:4" x14ac:dyDescent="0.25">
      <c r="A103" s="117">
        <v>41425</v>
      </c>
      <c r="B103" s="118">
        <v>1.6922127612995255</v>
      </c>
      <c r="C103" s="118">
        <v>19.610934866518434</v>
      </c>
      <c r="D103" s="119">
        <v>14.303998652288868</v>
      </c>
    </row>
    <row r="104" spans="1:4" x14ac:dyDescent="0.25">
      <c r="A104" s="117">
        <v>41455</v>
      </c>
      <c r="B104" s="118">
        <v>1.6406102676496543</v>
      </c>
      <c r="C104" s="118">
        <v>18.841005325833336</v>
      </c>
      <c r="D104" s="119">
        <v>12.879937571183959</v>
      </c>
    </row>
    <row r="105" spans="1:4" x14ac:dyDescent="0.25">
      <c r="A105" s="117">
        <v>41486</v>
      </c>
      <c r="B105" s="118">
        <v>1.4704144914939736</v>
      </c>
      <c r="C105" s="118">
        <v>17.871264806700886</v>
      </c>
      <c r="D105" s="119">
        <v>12.814421874103715</v>
      </c>
    </row>
    <row r="106" spans="1:4" x14ac:dyDescent="0.25">
      <c r="A106" s="117">
        <v>41517</v>
      </c>
      <c r="B106" s="118">
        <v>1.3711004541717333</v>
      </c>
      <c r="C106" s="118">
        <v>17.46599515810464</v>
      </c>
      <c r="D106" s="119">
        <v>12.410125044203173</v>
      </c>
    </row>
    <row r="107" spans="1:4" x14ac:dyDescent="0.25">
      <c r="A107" s="117">
        <v>41547</v>
      </c>
      <c r="B107" s="118">
        <v>1.3751329477056833</v>
      </c>
      <c r="C107" s="118">
        <v>17.050043149700521</v>
      </c>
      <c r="D107" s="119">
        <v>12.276173253877262</v>
      </c>
    </row>
    <row r="108" spans="1:4" x14ac:dyDescent="0.25">
      <c r="A108" s="117">
        <v>41578</v>
      </c>
      <c r="B108" s="118">
        <v>1.8164673081430953</v>
      </c>
      <c r="C108" s="118">
        <v>16.901943018987424</v>
      </c>
      <c r="D108" s="119">
        <v>11.789195306038309</v>
      </c>
    </row>
    <row r="109" spans="1:4" x14ac:dyDescent="0.25">
      <c r="A109" s="117">
        <v>41608</v>
      </c>
      <c r="B109" s="118">
        <v>1.7421995491213675</v>
      </c>
      <c r="C109" s="118">
        <v>17.03864017547609</v>
      </c>
      <c r="D109" s="119">
        <v>10.897452064040662</v>
      </c>
    </row>
    <row r="110" spans="1:4" x14ac:dyDescent="0.25">
      <c r="A110" s="117">
        <v>41639</v>
      </c>
      <c r="B110" s="118">
        <v>2.3740550416834445</v>
      </c>
      <c r="C110" s="118">
        <v>16.251296551652576</v>
      </c>
      <c r="D110" s="119">
        <v>10.326662441219803</v>
      </c>
    </row>
    <row r="111" spans="1:4" x14ac:dyDescent="0.25">
      <c r="A111" s="117">
        <v>41670</v>
      </c>
      <c r="B111" s="118">
        <v>2.1584073280503415</v>
      </c>
      <c r="C111" s="118">
        <v>15.696844817059016</v>
      </c>
      <c r="D111" s="119">
        <v>8.1545038515384505</v>
      </c>
    </row>
    <row r="112" spans="1:4" x14ac:dyDescent="0.25">
      <c r="A112" s="117">
        <v>41698</v>
      </c>
      <c r="B112" s="118">
        <v>1.932853362418028</v>
      </c>
      <c r="C112" s="118">
        <v>15.243914268345545</v>
      </c>
      <c r="D112" s="119">
        <v>8.0723639442951232</v>
      </c>
    </row>
    <row r="113" spans="1:4" x14ac:dyDescent="0.25">
      <c r="A113" s="117">
        <v>41729</v>
      </c>
      <c r="B113" s="118">
        <v>2.0474023406748123</v>
      </c>
      <c r="C113" s="118">
        <v>14.298993537987268</v>
      </c>
      <c r="D113" s="119">
        <v>10.005397438382468</v>
      </c>
    </row>
    <row r="114" spans="1:4" x14ac:dyDescent="0.25">
      <c r="A114" s="117">
        <v>41759</v>
      </c>
      <c r="B114" s="118">
        <v>2.0827301876190187</v>
      </c>
      <c r="C114" s="118">
        <v>14.108067323747262</v>
      </c>
      <c r="D114" s="119">
        <v>11.121311949643394</v>
      </c>
    </row>
    <row r="115" spans="1:4" x14ac:dyDescent="0.25">
      <c r="A115" s="117">
        <v>41790</v>
      </c>
      <c r="B115" s="118">
        <v>1.8686667621811268</v>
      </c>
      <c r="C115" s="118">
        <v>14.468895202654076</v>
      </c>
      <c r="D115" s="119">
        <v>12.0338259632428</v>
      </c>
    </row>
    <row r="116" spans="1:4" x14ac:dyDescent="0.25">
      <c r="A116" s="117">
        <v>41820</v>
      </c>
      <c r="B116" s="118">
        <v>2.0074939231561495</v>
      </c>
      <c r="C116" s="118">
        <v>15.227570037842613</v>
      </c>
      <c r="D116" s="119">
        <v>13.841282968814816</v>
      </c>
    </row>
    <row r="117" spans="1:4" x14ac:dyDescent="0.25">
      <c r="A117" s="117">
        <v>41851</v>
      </c>
      <c r="B117" s="118">
        <v>2.0825883628924222</v>
      </c>
      <c r="C117" s="118">
        <v>15.307868425315323</v>
      </c>
      <c r="D117" s="119">
        <v>13.720524333774858</v>
      </c>
    </row>
    <row r="118" spans="1:4" x14ac:dyDescent="0.25">
      <c r="A118" s="117">
        <v>41882</v>
      </c>
      <c r="B118" s="118">
        <v>2.3507859734673242</v>
      </c>
      <c r="C118" s="118">
        <v>16.136605187607898</v>
      </c>
      <c r="D118" s="119">
        <v>14.611250608374956</v>
      </c>
    </row>
    <row r="119" spans="1:4" x14ac:dyDescent="0.25">
      <c r="A119" s="117">
        <v>41912</v>
      </c>
      <c r="B119" s="118">
        <v>2.3592841376133684</v>
      </c>
      <c r="C119" s="118">
        <v>15.788144280596486</v>
      </c>
      <c r="D119" s="119">
        <v>13.790803799372014</v>
      </c>
    </row>
    <row r="120" spans="1:4" x14ac:dyDescent="0.25">
      <c r="A120" s="117">
        <v>41942</v>
      </c>
      <c r="B120" s="120">
        <v>2.3625222070652412</v>
      </c>
      <c r="C120" s="118">
        <v>15.856164739333485</v>
      </c>
      <c r="D120" s="119">
        <v>13.801980060640384</v>
      </c>
    </row>
    <row r="121" spans="1:4" x14ac:dyDescent="0.25">
      <c r="A121" s="117">
        <v>41973</v>
      </c>
      <c r="B121" s="120">
        <v>2.2265423627505498</v>
      </c>
      <c r="C121" s="118">
        <v>16.089861528498734</v>
      </c>
      <c r="D121" s="119">
        <v>14.956334768665741</v>
      </c>
    </row>
    <row r="122" spans="1:4" x14ac:dyDescent="0.25">
      <c r="A122" s="117">
        <v>42003</v>
      </c>
      <c r="B122" s="120">
        <v>2.0987163351844145</v>
      </c>
      <c r="C122" s="118">
        <v>15.95722935533513</v>
      </c>
      <c r="D122" s="119">
        <v>15.899069138932637</v>
      </c>
    </row>
    <row r="123" spans="1:4" x14ac:dyDescent="0.25">
      <c r="A123" s="117">
        <v>42034</v>
      </c>
      <c r="B123" s="120">
        <v>2.1864737042890914</v>
      </c>
      <c r="C123" s="118">
        <v>16.143502480311234</v>
      </c>
      <c r="D123" s="119">
        <v>16.898947341970537</v>
      </c>
    </row>
    <row r="124" spans="1:4" x14ac:dyDescent="0.25">
      <c r="A124" s="117">
        <v>42063</v>
      </c>
      <c r="B124" s="120">
        <v>2.1889899616645541</v>
      </c>
      <c r="C124" s="118">
        <v>16.908013876824111</v>
      </c>
      <c r="D124" s="119">
        <v>17.15948195411611</v>
      </c>
    </row>
    <row r="125" spans="1:4" x14ac:dyDescent="0.25">
      <c r="A125" s="117">
        <v>42093</v>
      </c>
      <c r="B125" s="120">
        <v>2.0153087051893772</v>
      </c>
      <c r="C125" s="118">
        <v>17.30437280561792</v>
      </c>
      <c r="D125" s="119">
        <v>15.615532016984131</v>
      </c>
    </row>
    <row r="126" spans="1:4" x14ac:dyDescent="0.25">
      <c r="A126" s="117">
        <v>42124</v>
      </c>
      <c r="B126" s="120">
        <v>2.0561811412978317</v>
      </c>
      <c r="C126" s="118">
        <v>17.188983729152675</v>
      </c>
      <c r="D126" s="119">
        <v>15.641398514313689</v>
      </c>
    </row>
    <row r="127" spans="1:4" x14ac:dyDescent="0.25">
      <c r="A127" s="117">
        <v>42154</v>
      </c>
      <c r="B127" s="120">
        <v>1.8669996868604335</v>
      </c>
      <c r="C127" s="118">
        <v>17.248400977568647</v>
      </c>
      <c r="D127" s="119">
        <v>15.576964121904139</v>
      </c>
    </row>
    <row r="128" spans="1:4" x14ac:dyDescent="0.25">
      <c r="A128" s="117">
        <v>42185</v>
      </c>
      <c r="B128" s="120">
        <v>1.8853712951376136</v>
      </c>
      <c r="C128" s="118">
        <v>16.672484438003998</v>
      </c>
      <c r="D128" s="119">
        <v>15.015807607716901</v>
      </c>
    </row>
    <row r="129" spans="1:4" x14ac:dyDescent="0.25">
      <c r="A129" s="117">
        <v>42215</v>
      </c>
      <c r="B129" s="120">
        <v>1.9164910551202423</v>
      </c>
      <c r="C129" s="118">
        <v>16.926986919448193</v>
      </c>
      <c r="D129" s="119">
        <v>16.058559347798766</v>
      </c>
    </row>
    <row r="130" spans="1:4" x14ac:dyDescent="0.25">
      <c r="A130" s="117">
        <v>42246</v>
      </c>
      <c r="B130" s="120">
        <v>1.6596009308455537</v>
      </c>
      <c r="C130" s="118">
        <v>16.29503786427934</v>
      </c>
      <c r="D130" s="119">
        <v>14.230272701094288</v>
      </c>
    </row>
    <row r="131" spans="1:4" x14ac:dyDescent="0.25">
      <c r="A131" s="117">
        <v>42277</v>
      </c>
      <c r="B131" s="120">
        <v>1.4556951455481779</v>
      </c>
      <c r="C131" s="118">
        <v>16.873916585142201</v>
      </c>
      <c r="D131" s="119">
        <v>13.914598402746897</v>
      </c>
    </row>
    <row r="132" spans="1:4" x14ac:dyDescent="0.25">
      <c r="A132" s="117">
        <v>42307</v>
      </c>
      <c r="B132" s="120">
        <v>1.3539146071583088</v>
      </c>
      <c r="C132" s="118">
        <v>16.751081049596934</v>
      </c>
      <c r="D132" s="119">
        <v>14.163950289644326</v>
      </c>
    </row>
    <row r="133" spans="1:4" x14ac:dyDescent="0.25">
      <c r="A133" s="117">
        <v>42338</v>
      </c>
      <c r="B133" s="120">
        <v>1.4689714014203463</v>
      </c>
      <c r="C133" s="118">
        <v>16.604464183505943</v>
      </c>
      <c r="D133" s="119">
        <v>13.812349436101126</v>
      </c>
    </row>
    <row r="134" spans="1:4" x14ac:dyDescent="0.25">
      <c r="A134" s="117">
        <v>42368</v>
      </c>
      <c r="B134" s="120">
        <v>1.218485478237564</v>
      </c>
      <c r="C134" s="118">
        <v>17.488452857984417</v>
      </c>
      <c r="D134" s="119">
        <v>13.013086451466002</v>
      </c>
    </row>
    <row r="135" spans="1:4" x14ac:dyDescent="0.25">
      <c r="A135" s="117">
        <v>42370</v>
      </c>
      <c r="B135" s="120">
        <v>1.1187140220788205</v>
      </c>
      <c r="C135" s="118">
        <v>17.323728288135676</v>
      </c>
      <c r="D135" s="119">
        <v>12.792408112521517</v>
      </c>
    </row>
    <row r="136" spans="1:4" x14ac:dyDescent="0.25">
      <c r="A136" s="117">
        <v>42401</v>
      </c>
      <c r="B136" s="120">
        <v>1.2569814112366187</v>
      </c>
      <c r="C136" s="118">
        <v>16.736200744679255</v>
      </c>
      <c r="D136" s="119">
        <v>12.339290459723735</v>
      </c>
    </row>
    <row r="137" spans="1:4" x14ac:dyDescent="0.25">
      <c r="A137" s="117">
        <v>42430</v>
      </c>
      <c r="B137" s="120">
        <v>1.1484789716034718</v>
      </c>
      <c r="C137" s="118">
        <v>16.414523347319033</v>
      </c>
      <c r="D137" s="119">
        <v>13.30464667361661</v>
      </c>
    </row>
    <row r="138" spans="1:4" x14ac:dyDescent="0.25">
      <c r="A138" s="117">
        <v>42461</v>
      </c>
      <c r="B138" s="120">
        <v>1.1627797761855425</v>
      </c>
      <c r="C138" s="118">
        <v>16.782104927594343</v>
      </c>
      <c r="D138" s="119">
        <v>13.027254152680609</v>
      </c>
    </row>
    <row r="139" spans="1:4" x14ac:dyDescent="0.25">
      <c r="A139" s="117">
        <v>42491</v>
      </c>
      <c r="B139" s="120">
        <v>1.4367611973427308</v>
      </c>
      <c r="C139" s="118">
        <v>16.63671193756408</v>
      </c>
      <c r="D139" s="119">
        <v>13.555473077888347</v>
      </c>
    </row>
    <row r="140" spans="1:4" x14ac:dyDescent="0.25">
      <c r="A140" s="117">
        <v>42522</v>
      </c>
      <c r="B140" s="120">
        <v>1.5447299854019643</v>
      </c>
      <c r="C140" s="118">
        <v>16.90614852915261</v>
      </c>
      <c r="D140" s="119">
        <v>13.490130640769889</v>
      </c>
    </row>
    <row r="141" spans="1:4" x14ac:dyDescent="0.25">
      <c r="A141" s="117">
        <v>42552</v>
      </c>
      <c r="B141" s="120">
        <v>2.060619069874809</v>
      </c>
      <c r="C141" s="118">
        <v>17.091112032772457</v>
      </c>
      <c r="D141" s="119">
        <v>12.850819555937601</v>
      </c>
    </row>
    <row r="142" spans="1:4" x14ac:dyDescent="0.25">
      <c r="A142" s="117">
        <v>42583</v>
      </c>
      <c r="B142" s="120">
        <v>2.2655287111083307</v>
      </c>
      <c r="C142" s="118">
        <v>18.166477451101027</v>
      </c>
      <c r="D142" s="119">
        <v>14.116747049298194</v>
      </c>
    </row>
    <row r="143" spans="1:4" x14ac:dyDescent="0.25">
      <c r="A143" s="117">
        <v>42614</v>
      </c>
      <c r="B143" s="120">
        <v>2.6401759839139407</v>
      </c>
      <c r="C143" s="118">
        <v>17.490489910690869</v>
      </c>
      <c r="D143" s="119">
        <v>14.764154721494084</v>
      </c>
    </row>
    <row r="144" spans="1:4" x14ac:dyDescent="0.25">
      <c r="A144" s="117">
        <v>42644</v>
      </c>
      <c r="B144" s="120">
        <v>2.6497311864921458</v>
      </c>
      <c r="C144" s="118">
        <v>17.328620184406258</v>
      </c>
      <c r="D144" s="119">
        <v>14.428554007972163</v>
      </c>
    </row>
    <row r="145" spans="1:18" x14ac:dyDescent="0.25">
      <c r="A145" s="117">
        <v>42675</v>
      </c>
      <c r="B145" s="120">
        <v>2.5374230994710372</v>
      </c>
      <c r="C145" s="118">
        <v>17.393180471028341</v>
      </c>
      <c r="D145" s="119">
        <v>14.336021708917833</v>
      </c>
    </row>
    <row r="146" spans="1:18" x14ac:dyDescent="0.25">
      <c r="A146" s="117">
        <v>42705</v>
      </c>
      <c r="B146" s="120">
        <v>2.8967155832218796</v>
      </c>
      <c r="C146" s="118">
        <v>18.066157125849969</v>
      </c>
      <c r="D146" s="119">
        <v>14.845491737107558</v>
      </c>
    </row>
    <row r="147" spans="1:18" x14ac:dyDescent="0.25">
      <c r="A147" s="117">
        <v>42736</v>
      </c>
      <c r="B147" s="120">
        <v>3.0224157505147926</v>
      </c>
      <c r="C147" s="118">
        <v>18.450387047056726</v>
      </c>
      <c r="D147" s="119">
        <v>15.443597291277337</v>
      </c>
    </row>
    <row r="148" spans="1:18" x14ac:dyDescent="0.25">
      <c r="A148" s="117">
        <v>42767</v>
      </c>
      <c r="B148" s="120">
        <v>2.7364661200749576</v>
      </c>
      <c r="C148" s="118">
        <v>18.344307060018611</v>
      </c>
      <c r="D148" s="119">
        <v>15.500713640042118</v>
      </c>
    </row>
    <row r="149" spans="1:18" x14ac:dyDescent="0.25">
      <c r="A149" s="117">
        <v>42795</v>
      </c>
      <c r="B149" s="120">
        <v>2.7927492990940275</v>
      </c>
      <c r="C149" s="118">
        <v>18.958721453036343</v>
      </c>
      <c r="D149" s="119">
        <v>15.012890707658311</v>
      </c>
    </row>
    <row r="150" spans="1:18" x14ac:dyDescent="0.25">
      <c r="A150" s="117">
        <v>42826</v>
      </c>
      <c r="B150" s="120">
        <v>2.6229683251535874</v>
      </c>
      <c r="C150" s="118">
        <v>18.9144143726861</v>
      </c>
      <c r="D150" s="119">
        <v>15.584052736681897</v>
      </c>
    </row>
    <row r="151" spans="1:18" x14ac:dyDescent="0.25">
      <c r="A151" s="117">
        <v>42856</v>
      </c>
      <c r="B151" s="120">
        <v>2.6719530533705842</v>
      </c>
      <c r="C151" s="118">
        <v>19.021825308729806</v>
      </c>
      <c r="D151" s="119">
        <v>15.956198248769892</v>
      </c>
    </row>
    <row r="152" spans="1:18" x14ac:dyDescent="0.25">
      <c r="A152" s="117">
        <v>42887</v>
      </c>
      <c r="B152" s="120">
        <v>2.6837172565735674</v>
      </c>
      <c r="C152" s="118">
        <v>18.991539909524718</v>
      </c>
      <c r="D152" s="119">
        <v>16.467477494562228</v>
      </c>
    </row>
    <row r="153" spans="1:18" x14ac:dyDescent="0.25">
      <c r="A153" s="117">
        <v>42917</v>
      </c>
      <c r="B153" s="120">
        <v>2.2541077800986757</v>
      </c>
      <c r="C153" s="118">
        <v>19.245554584389573</v>
      </c>
      <c r="D153" s="119">
        <v>16.184750404812203</v>
      </c>
      <c r="P153" s="167"/>
      <c r="Q153" s="167"/>
      <c r="R153" s="167"/>
    </row>
    <row r="154" spans="1:18" x14ac:dyDescent="0.25">
      <c r="A154" s="117">
        <v>42948</v>
      </c>
      <c r="B154" s="119">
        <v>2.1768890529070037</v>
      </c>
      <c r="C154" s="119">
        <v>17.977158058509318</v>
      </c>
      <c r="D154" s="119">
        <v>15.681682987933964</v>
      </c>
    </row>
    <row r="155" spans="1:18" x14ac:dyDescent="0.25">
      <c r="A155" s="117">
        <v>42979</v>
      </c>
      <c r="B155" s="119">
        <v>2.1575465629933102</v>
      </c>
      <c r="C155" s="119">
        <v>17.396957594553353</v>
      </c>
      <c r="D155" s="119">
        <v>15.968888411606866</v>
      </c>
    </row>
    <row r="156" spans="1:18" x14ac:dyDescent="0.25">
      <c r="A156" s="117">
        <v>43009</v>
      </c>
      <c r="B156" s="119">
        <v>2.9606650764726203</v>
      </c>
      <c r="C156" s="119">
        <v>17.515520038598947</v>
      </c>
      <c r="D156" s="119">
        <v>15.908459553654044</v>
      </c>
    </row>
    <row r="157" spans="1:18" x14ac:dyDescent="0.25">
      <c r="A157" s="117">
        <v>43040</v>
      </c>
      <c r="B157" s="119">
        <v>2.5855603753646998</v>
      </c>
      <c r="C157" s="119">
        <v>17.588874977287887</v>
      </c>
      <c r="D157" s="119">
        <v>15.973913386798099</v>
      </c>
    </row>
    <row r="158" spans="1:18" x14ac:dyDescent="0.25">
      <c r="A158" s="117">
        <v>43070</v>
      </c>
      <c r="B158" s="119">
        <v>2.5565978431762373</v>
      </c>
      <c r="C158" s="119">
        <v>17.786269573830243</v>
      </c>
      <c r="D158" s="119">
        <v>16.506569687076144</v>
      </c>
    </row>
    <row r="159" spans="1:18" x14ac:dyDescent="0.25">
      <c r="A159" s="117">
        <v>43101</v>
      </c>
      <c r="B159" s="119">
        <v>2.372666453429602</v>
      </c>
      <c r="C159" s="119">
        <v>17.55636814259752</v>
      </c>
      <c r="D159" s="119">
        <v>16.462394324377762</v>
      </c>
    </row>
    <row r="160" spans="1:18" x14ac:dyDescent="0.25">
      <c r="B160" s="119"/>
    </row>
    <row r="161" spans="2:4" x14ac:dyDescent="0.25">
      <c r="B161" s="119">
        <f>B159-B153</f>
        <v>0.11855867333092629</v>
      </c>
      <c r="C161" s="119">
        <f>C159-C153</f>
        <v>-1.689186441792053</v>
      </c>
      <c r="D161" s="119">
        <f>D159-D153</f>
        <v>0.27764391956555912</v>
      </c>
    </row>
    <row r="163" spans="2:4" x14ac:dyDescent="0.25">
      <c r="B163" s="119">
        <f>AVERAGE(B100:B159)</f>
        <v>2.0145186188779145</v>
      </c>
      <c r="C163" s="119">
        <f>AVERAGE(C100:C159)</f>
        <v>17.174364743171616</v>
      </c>
      <c r="D163" s="119">
        <f>AVERAGE(D100:D159)</f>
        <v>14.128897233259332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showGridLines="0" tabSelected="1" view="pageBreakPreview" zoomScale="96" zoomScaleNormal="100" zoomScaleSheetLayoutView="96" workbookViewId="0">
      <selection activeCell="E27" sqref="E27"/>
    </sheetView>
  </sheetViews>
  <sheetFormatPr baseColWidth="10" defaultRowHeight="15" x14ac:dyDescent="0.25"/>
  <cols>
    <col min="1" max="13" width="11.42578125" style="116"/>
    <col min="14" max="14" width="4.28515625" style="116" customWidth="1"/>
    <col min="15" max="16384" width="11.42578125" style="116"/>
  </cols>
  <sheetData>
    <row r="1" spans="1:7" x14ac:dyDescent="0.25">
      <c r="A1" s="116" t="s">
        <v>70</v>
      </c>
      <c r="B1" s="116" t="s">
        <v>75</v>
      </c>
      <c r="C1" s="116" t="s">
        <v>76</v>
      </c>
    </row>
    <row r="2" spans="1:7" x14ac:dyDescent="0.25">
      <c r="A2" s="117">
        <v>40908</v>
      </c>
      <c r="B2" s="118">
        <v>2.2769927524729803</v>
      </c>
      <c r="C2" s="118">
        <v>1.3125102419178938</v>
      </c>
      <c r="G2" s="147" t="s">
        <v>107</v>
      </c>
    </row>
    <row r="3" spans="1:7" x14ac:dyDescent="0.25">
      <c r="A3" s="117">
        <v>40939</v>
      </c>
      <c r="B3" s="118">
        <v>2.260029208258072</v>
      </c>
      <c r="C3" s="118">
        <v>1.8933351397803995</v>
      </c>
    </row>
    <row r="4" spans="1:7" x14ac:dyDescent="0.25">
      <c r="A4" s="117">
        <v>40968</v>
      </c>
      <c r="B4" s="118">
        <v>2.1599747110419241</v>
      </c>
      <c r="C4" s="118">
        <v>1.9563653199088986</v>
      </c>
    </row>
    <row r="5" spans="1:7" x14ac:dyDescent="0.25">
      <c r="A5" s="117">
        <v>40999</v>
      </c>
      <c r="B5" s="118">
        <v>2.7933268191160288</v>
      </c>
      <c r="C5" s="118">
        <v>2.6007575407283419</v>
      </c>
    </row>
    <row r="6" spans="1:7" x14ac:dyDescent="0.25">
      <c r="A6" s="117">
        <v>41029</v>
      </c>
      <c r="B6" s="118">
        <v>2.8391060164887141</v>
      </c>
      <c r="C6" s="118">
        <v>2.8357862831103691</v>
      </c>
    </row>
    <row r="7" spans="1:7" x14ac:dyDescent="0.25">
      <c r="A7" s="117">
        <v>41060</v>
      </c>
      <c r="B7" s="118">
        <v>2.586882293184054</v>
      </c>
      <c r="C7" s="118">
        <v>2.9671171506602771</v>
      </c>
    </row>
    <row r="8" spans="1:7" x14ac:dyDescent="0.25">
      <c r="A8" s="117">
        <v>41090</v>
      </c>
      <c r="B8" s="118">
        <v>2.3982081774575823</v>
      </c>
      <c r="C8" s="118">
        <v>2.8511150630979523</v>
      </c>
    </row>
    <row r="9" spans="1:7" x14ac:dyDescent="0.25">
      <c r="A9" s="117">
        <v>41121</v>
      </c>
      <c r="B9" s="118">
        <v>2.71956921127124</v>
      </c>
      <c r="C9" s="118">
        <v>2.5622176947263853</v>
      </c>
    </row>
    <row r="10" spans="1:7" x14ac:dyDescent="0.25">
      <c r="A10" s="117">
        <v>41152</v>
      </c>
      <c r="B10" s="118">
        <v>2.7055711886840181</v>
      </c>
      <c r="C10" s="118">
        <v>2.7504849724712548</v>
      </c>
    </row>
    <row r="11" spans="1:7" x14ac:dyDescent="0.25">
      <c r="A11" s="117">
        <v>41182</v>
      </c>
      <c r="B11" s="118">
        <v>2.5756873744542435</v>
      </c>
      <c r="C11" s="118">
        <v>3.0946552076014009</v>
      </c>
    </row>
    <row r="12" spans="1:7" x14ac:dyDescent="0.25">
      <c r="A12" s="117">
        <v>41213</v>
      </c>
      <c r="B12" s="118">
        <v>2.5479961818919468</v>
      </c>
      <c r="C12" s="118">
        <v>3.1751214261581109</v>
      </c>
    </row>
    <row r="13" spans="1:7" x14ac:dyDescent="0.25">
      <c r="A13" s="117">
        <v>41243</v>
      </c>
      <c r="B13" s="118">
        <v>2.4620551197045875</v>
      </c>
      <c r="C13" s="118">
        <v>3.246634017404662</v>
      </c>
    </row>
    <row r="14" spans="1:7" x14ac:dyDescent="0.25">
      <c r="A14" s="117">
        <v>41274</v>
      </c>
      <c r="B14" s="118">
        <v>2.3823543295985754</v>
      </c>
      <c r="C14" s="118">
        <v>3.4013200387311873</v>
      </c>
    </row>
    <row r="15" spans="1:7" x14ac:dyDescent="0.25">
      <c r="A15" s="117">
        <v>41305</v>
      </c>
      <c r="B15" s="118">
        <v>2.6064306061494076</v>
      </c>
      <c r="C15" s="118">
        <v>3.5070256707723333</v>
      </c>
    </row>
    <row r="16" spans="1:7" x14ac:dyDescent="0.25">
      <c r="A16" s="117">
        <v>41333</v>
      </c>
      <c r="B16" s="118">
        <v>2.5960034776995888</v>
      </c>
      <c r="C16" s="118">
        <v>3.4783317253770321</v>
      </c>
    </row>
    <row r="17" spans="1:14" x14ac:dyDescent="0.25">
      <c r="A17" s="117">
        <v>41364</v>
      </c>
      <c r="B17" s="118">
        <v>2.5125662585368111</v>
      </c>
      <c r="C17" s="118">
        <v>3.3623168315783172</v>
      </c>
    </row>
    <row r="18" spans="1:14" x14ac:dyDescent="0.25">
      <c r="A18" s="117">
        <v>41394</v>
      </c>
      <c r="B18" s="118">
        <v>2.2931463549372002</v>
      </c>
      <c r="C18" s="118">
        <v>3.050968403859827</v>
      </c>
      <c r="G18" s="168" t="s">
        <v>0</v>
      </c>
      <c r="H18" s="168"/>
      <c r="I18" s="168"/>
      <c r="J18" s="168"/>
      <c r="K18" s="168"/>
      <c r="L18" s="168"/>
      <c r="M18" s="168"/>
      <c r="N18" s="168"/>
    </row>
    <row r="19" spans="1:14" x14ac:dyDescent="0.25">
      <c r="A19" s="117">
        <v>41425</v>
      </c>
      <c r="B19" s="118">
        <v>2.292460076380634</v>
      </c>
      <c r="C19" s="118">
        <v>2.9614072589130345</v>
      </c>
    </row>
    <row r="20" spans="1:14" x14ac:dyDescent="0.25">
      <c r="A20" s="117">
        <v>41455</v>
      </c>
      <c r="B20" s="118">
        <v>2.0146541634914903</v>
      </c>
      <c r="C20" s="118">
        <v>2.047343926739599</v>
      </c>
    </row>
    <row r="21" spans="1:14" x14ac:dyDescent="0.25">
      <c r="A21" s="117">
        <v>41486</v>
      </c>
      <c r="B21" s="118">
        <v>1.9303725264782143</v>
      </c>
      <c r="C21" s="118">
        <v>2.0259459040287955</v>
      </c>
    </row>
    <row r="22" spans="1:14" x14ac:dyDescent="0.25">
      <c r="A22" s="117">
        <v>41517</v>
      </c>
      <c r="B22" s="118">
        <v>1.6648515386785807</v>
      </c>
      <c r="C22" s="118">
        <v>1.9551507214957369</v>
      </c>
    </row>
    <row r="23" spans="1:14" x14ac:dyDescent="0.25">
      <c r="A23" s="117">
        <v>41547</v>
      </c>
      <c r="B23" s="118">
        <v>1.7747099955497354</v>
      </c>
      <c r="C23" s="118">
        <v>2.1141975771752111</v>
      </c>
    </row>
    <row r="24" spans="1:14" x14ac:dyDescent="0.25">
      <c r="A24" s="117">
        <v>41578</v>
      </c>
      <c r="B24" s="118">
        <v>1.4535285817769061</v>
      </c>
      <c r="C24" s="118">
        <v>1.978627856703469</v>
      </c>
    </row>
    <row r="25" spans="1:14" x14ac:dyDescent="0.25">
      <c r="A25" s="117">
        <v>41608</v>
      </c>
      <c r="B25" s="118">
        <v>1.4418121832663089</v>
      </c>
      <c r="C25" s="118">
        <v>1.7322215903849787</v>
      </c>
    </row>
    <row r="26" spans="1:14" x14ac:dyDescent="0.25">
      <c r="A26" s="117">
        <v>41639</v>
      </c>
      <c r="B26" s="118">
        <v>1.5572023977013691</v>
      </c>
      <c r="C26" s="118">
        <v>1.3669269473910233</v>
      </c>
    </row>
    <row r="27" spans="1:14" x14ac:dyDescent="0.25">
      <c r="A27" s="117">
        <v>41670</v>
      </c>
      <c r="B27" s="118">
        <v>1.3880501612143519</v>
      </c>
      <c r="C27" s="118">
        <v>0.72240636702489536</v>
      </c>
    </row>
    <row r="28" spans="1:14" x14ac:dyDescent="0.25">
      <c r="A28" s="117">
        <v>41698</v>
      </c>
      <c r="B28" s="118">
        <v>1.4075871392432924</v>
      </c>
      <c r="C28" s="118">
        <v>0.89418990810751964</v>
      </c>
    </row>
    <row r="29" spans="1:14" x14ac:dyDescent="0.25">
      <c r="A29" s="117">
        <v>41729</v>
      </c>
      <c r="B29" s="118">
        <v>1.187690234849758</v>
      </c>
      <c r="C29" s="118">
        <v>1.3968557257568488</v>
      </c>
    </row>
    <row r="30" spans="1:14" x14ac:dyDescent="0.25">
      <c r="A30" s="117">
        <v>41759</v>
      </c>
      <c r="B30" s="118">
        <v>1.1484566057840633</v>
      </c>
      <c r="C30" s="118">
        <v>1.604436867713718</v>
      </c>
    </row>
    <row r="31" spans="1:14" x14ac:dyDescent="0.25">
      <c r="A31" s="117">
        <v>41790</v>
      </c>
      <c r="B31" s="118">
        <v>1.2351938835584824</v>
      </c>
      <c r="C31" s="118">
        <v>1.6291725203418128</v>
      </c>
    </row>
    <row r="32" spans="1:14" x14ac:dyDescent="0.25">
      <c r="A32" s="117">
        <v>41820</v>
      </c>
      <c r="B32" s="118">
        <v>1.6596383391898266</v>
      </c>
      <c r="C32" s="118">
        <v>2.5550405099347251</v>
      </c>
    </row>
    <row r="33" spans="1:3" x14ac:dyDescent="0.25">
      <c r="A33" s="117">
        <v>41851</v>
      </c>
      <c r="B33" s="118">
        <v>1.2620056943892142</v>
      </c>
      <c r="C33" s="118">
        <v>2.3368656057767816</v>
      </c>
    </row>
    <row r="34" spans="1:3" x14ac:dyDescent="0.25">
      <c r="A34" s="117">
        <v>41882</v>
      </c>
      <c r="B34" s="118">
        <v>1.5737720178312613</v>
      </c>
      <c r="C34" s="118">
        <v>2.7805347593969207</v>
      </c>
    </row>
    <row r="35" spans="1:3" x14ac:dyDescent="0.25">
      <c r="A35" s="117">
        <v>41912</v>
      </c>
      <c r="B35" s="118">
        <v>1.2090462790477041</v>
      </c>
      <c r="C35" s="118">
        <v>2.4773338186351945</v>
      </c>
    </row>
    <row r="36" spans="1:3" x14ac:dyDescent="0.25">
      <c r="A36" s="117">
        <v>41942</v>
      </c>
      <c r="B36" s="120">
        <v>1.2955375216881515</v>
      </c>
      <c r="C36" s="118">
        <v>2.5494132926070043</v>
      </c>
    </row>
    <row r="37" spans="1:3" x14ac:dyDescent="0.25">
      <c r="A37" s="117">
        <v>41973</v>
      </c>
      <c r="B37" s="120">
        <v>1.3495568886078013</v>
      </c>
      <c r="C37" s="118">
        <v>2.9943266107401354</v>
      </c>
    </row>
    <row r="38" spans="1:3" x14ac:dyDescent="0.25">
      <c r="A38" s="117">
        <v>42003</v>
      </c>
      <c r="B38" s="120">
        <v>0.94771004722409613</v>
      </c>
      <c r="C38" s="118">
        <v>3.0499004783601795</v>
      </c>
    </row>
    <row r="39" spans="1:3" x14ac:dyDescent="0.25">
      <c r="A39" s="117">
        <v>42034</v>
      </c>
      <c r="B39" s="120">
        <v>1.2512109024153324</v>
      </c>
      <c r="C39" s="118">
        <v>3.7045076282590612</v>
      </c>
    </row>
    <row r="40" spans="1:3" x14ac:dyDescent="0.25">
      <c r="A40" s="117">
        <v>42063</v>
      </c>
      <c r="B40" s="120">
        <v>1.139786595301872</v>
      </c>
      <c r="C40" s="118">
        <v>3.5907629622150634</v>
      </c>
    </row>
    <row r="41" spans="1:3" x14ac:dyDescent="0.25">
      <c r="A41" s="117">
        <v>42093</v>
      </c>
      <c r="B41" s="120">
        <v>0.86941495033391258</v>
      </c>
      <c r="C41" s="118">
        <v>3.2745404215656739</v>
      </c>
    </row>
    <row r="42" spans="1:3" x14ac:dyDescent="0.25">
      <c r="A42" s="117">
        <v>42124</v>
      </c>
      <c r="B42" s="120">
        <v>0.9534613145541162</v>
      </c>
      <c r="C42" s="118">
        <v>3.3760989252583387</v>
      </c>
    </row>
    <row r="43" spans="1:3" x14ac:dyDescent="0.25">
      <c r="A43" s="117">
        <v>42154</v>
      </c>
      <c r="B43" s="120">
        <v>1.218090276563361</v>
      </c>
      <c r="C43" s="118">
        <v>3.5364185373679509</v>
      </c>
    </row>
    <row r="44" spans="1:3" x14ac:dyDescent="0.25">
      <c r="A44" s="117">
        <v>42185</v>
      </c>
      <c r="B44" s="120">
        <v>1.0718119797642582</v>
      </c>
      <c r="C44" s="118">
        <v>3.5584683315182577</v>
      </c>
    </row>
    <row r="45" spans="1:3" x14ac:dyDescent="0.25">
      <c r="A45" s="117">
        <v>42215</v>
      </c>
      <c r="B45" s="120">
        <v>1.3782135039944279</v>
      </c>
      <c r="C45" s="118">
        <v>4.1194704726749665</v>
      </c>
    </row>
    <row r="46" spans="1:3" x14ac:dyDescent="0.25">
      <c r="A46" s="117">
        <v>42246</v>
      </c>
      <c r="B46" s="120">
        <v>1.2827514872822663</v>
      </c>
      <c r="C46" s="118">
        <v>3.6680141274365576</v>
      </c>
    </row>
    <row r="47" spans="1:3" x14ac:dyDescent="0.25">
      <c r="A47" s="117">
        <v>42277</v>
      </c>
      <c r="B47" s="120">
        <v>1.4038404625710348</v>
      </c>
      <c r="C47" s="118">
        <v>3.6400290021491979</v>
      </c>
    </row>
    <row r="48" spans="1:3" x14ac:dyDescent="0.25">
      <c r="A48" s="117">
        <v>42307</v>
      </c>
      <c r="B48" s="120">
        <v>1.3499554005254981</v>
      </c>
      <c r="C48" s="118">
        <v>3.545162909924612</v>
      </c>
    </row>
    <row r="49" spans="1:3" x14ac:dyDescent="0.25">
      <c r="A49" s="117">
        <v>42338</v>
      </c>
      <c r="B49" s="120">
        <v>1.1914101189289652</v>
      </c>
      <c r="C49" s="118">
        <v>3.3246584429509434</v>
      </c>
    </row>
    <row r="50" spans="1:3" x14ac:dyDescent="0.25">
      <c r="A50" s="117">
        <v>42368</v>
      </c>
      <c r="B50" s="120">
        <v>0.88880309987162587</v>
      </c>
      <c r="C50" s="118">
        <v>2.7453045619872642</v>
      </c>
    </row>
    <row r="51" spans="1:3" x14ac:dyDescent="0.25">
      <c r="A51" s="117">
        <v>42370</v>
      </c>
      <c r="B51" s="120">
        <v>0.65109022979660547</v>
      </c>
      <c r="C51" s="118">
        <v>2.4408267632281082</v>
      </c>
    </row>
    <row r="52" spans="1:3" x14ac:dyDescent="0.25">
      <c r="A52" s="117">
        <v>42401</v>
      </c>
      <c r="B52" s="120">
        <v>0.6612396184863083</v>
      </c>
      <c r="C52" s="118">
        <v>2.5788271724884271</v>
      </c>
    </row>
    <row r="53" spans="1:3" x14ac:dyDescent="0.25">
      <c r="A53" s="117">
        <v>42430</v>
      </c>
      <c r="B53" s="120">
        <v>0.62856677452186416</v>
      </c>
      <c r="C53" s="118">
        <v>3.0343047983906408</v>
      </c>
    </row>
    <row r="54" spans="1:3" x14ac:dyDescent="0.25">
      <c r="A54" s="117">
        <v>42461</v>
      </c>
      <c r="B54" s="120">
        <v>0.5099850494740874</v>
      </c>
      <c r="C54" s="118">
        <v>3.0264482730867788</v>
      </c>
    </row>
    <row r="55" spans="1:3" x14ac:dyDescent="0.25">
      <c r="A55" s="117">
        <v>42491</v>
      </c>
      <c r="B55" s="120">
        <v>0.56356368960219172</v>
      </c>
      <c r="C55" s="118">
        <v>3.0490718913745853</v>
      </c>
    </row>
    <row r="56" spans="1:3" x14ac:dyDescent="0.25">
      <c r="A56" s="117">
        <v>42522</v>
      </c>
      <c r="B56" s="120">
        <v>0.56810401287270196</v>
      </c>
      <c r="C56" s="118">
        <v>3.104319986770165</v>
      </c>
    </row>
    <row r="57" spans="1:3" x14ac:dyDescent="0.25">
      <c r="A57" s="117">
        <v>42552</v>
      </c>
      <c r="B57" s="120">
        <v>0.83296643810836324</v>
      </c>
      <c r="C57" s="118">
        <v>2.9208085388120599</v>
      </c>
    </row>
    <row r="58" spans="1:3" x14ac:dyDescent="0.25">
      <c r="A58" s="117">
        <v>42583</v>
      </c>
      <c r="B58" s="120">
        <v>0.68402276964802244</v>
      </c>
      <c r="C58" s="118">
        <v>2.9906266007316331</v>
      </c>
    </row>
    <row r="59" spans="1:3" x14ac:dyDescent="0.25">
      <c r="A59" s="117">
        <v>42614</v>
      </c>
      <c r="B59" s="120">
        <v>0.75814080942964468</v>
      </c>
      <c r="C59" s="118">
        <v>3.1361674558525618</v>
      </c>
    </row>
    <row r="60" spans="1:3" x14ac:dyDescent="0.25">
      <c r="A60" s="117">
        <v>42644</v>
      </c>
      <c r="B60" s="120">
        <v>0.83587610631589437</v>
      </c>
      <c r="C60" s="118">
        <v>3.1945589060486843</v>
      </c>
    </row>
    <row r="61" spans="1:3" x14ac:dyDescent="0.25">
      <c r="A61" s="117">
        <v>42675</v>
      </c>
      <c r="B61" s="120">
        <v>0.76860120325615611</v>
      </c>
      <c r="C61" s="118">
        <v>3.1804633406284695</v>
      </c>
    </row>
    <row r="62" spans="1:3" x14ac:dyDescent="0.25">
      <c r="A62" s="117">
        <v>42705</v>
      </c>
      <c r="B62" s="120">
        <v>1.4611935154554361</v>
      </c>
      <c r="C62" s="118">
        <v>3.869895996529003</v>
      </c>
    </row>
    <row r="63" spans="1:3" x14ac:dyDescent="0.25">
      <c r="A63" s="117">
        <v>42736</v>
      </c>
      <c r="B63" s="120">
        <v>1.4530691558796807</v>
      </c>
      <c r="C63" s="118">
        <v>4.0521441034674224</v>
      </c>
    </row>
    <row r="64" spans="1:3" x14ac:dyDescent="0.25">
      <c r="A64" s="117">
        <v>42767</v>
      </c>
      <c r="B64" s="120">
        <v>1.4807832328478032</v>
      </c>
      <c r="C64" s="118">
        <v>3.8597147217989929</v>
      </c>
    </row>
    <row r="65" spans="1:3" x14ac:dyDescent="0.25">
      <c r="A65" s="117">
        <v>42795</v>
      </c>
      <c r="B65" s="120">
        <v>1.4983928823312878</v>
      </c>
      <c r="C65" s="118">
        <v>3.7800884020507421</v>
      </c>
    </row>
    <row r="66" spans="1:3" x14ac:dyDescent="0.25">
      <c r="A66" s="117">
        <v>42826</v>
      </c>
      <c r="B66" s="120">
        <v>1.5149792224468168</v>
      </c>
      <c r="C66" s="118">
        <v>3.8752361267690696</v>
      </c>
    </row>
    <row r="67" spans="1:3" x14ac:dyDescent="0.25">
      <c r="A67" s="117">
        <v>42856</v>
      </c>
      <c r="B67" s="120">
        <v>1.3185302489593522</v>
      </c>
      <c r="C67" s="118">
        <v>3.9079445710468561</v>
      </c>
    </row>
    <row r="68" spans="1:3" x14ac:dyDescent="0.25">
      <c r="A68" s="117">
        <v>42887</v>
      </c>
      <c r="B68" s="120">
        <v>1.4662081392552677</v>
      </c>
      <c r="C68" s="118">
        <v>3.9414073207139557</v>
      </c>
    </row>
    <row r="69" spans="1:3" x14ac:dyDescent="0.25">
      <c r="A69" s="117">
        <v>42917</v>
      </c>
      <c r="B69" s="120">
        <v>1.1110565819385407</v>
      </c>
      <c r="C69" s="118">
        <v>3.549626733670924</v>
      </c>
    </row>
    <row r="70" spans="1:3" x14ac:dyDescent="0.25">
      <c r="A70" s="117">
        <v>42948</v>
      </c>
      <c r="B70" s="120">
        <v>1.095743322997466</v>
      </c>
      <c r="C70" s="118">
        <v>3.5107872065708494</v>
      </c>
    </row>
    <row r="71" spans="1:3" x14ac:dyDescent="0.25">
      <c r="A71" s="117">
        <v>42979</v>
      </c>
      <c r="B71" s="120">
        <v>1.1423214546792024</v>
      </c>
      <c r="C71" s="118">
        <v>3.5324604823220427</v>
      </c>
    </row>
    <row r="72" spans="1:3" x14ac:dyDescent="0.25">
      <c r="A72" s="117">
        <v>43009</v>
      </c>
      <c r="B72" s="120">
        <v>1.3530682619538461</v>
      </c>
      <c r="C72" s="118">
        <v>3.4836554533332649</v>
      </c>
    </row>
    <row r="73" spans="1:3" x14ac:dyDescent="0.25">
      <c r="A73" s="117">
        <v>43040</v>
      </c>
      <c r="B73" s="120">
        <v>1.7833882518559325</v>
      </c>
      <c r="C73" s="118">
        <v>3.5581241900590315</v>
      </c>
    </row>
    <row r="74" spans="1:3" x14ac:dyDescent="0.25">
      <c r="A74" s="117">
        <v>43070</v>
      </c>
      <c r="B74" s="120">
        <v>1.4070987435127269</v>
      </c>
      <c r="C74" s="118">
        <v>3.6033542947239159</v>
      </c>
    </row>
    <row r="75" spans="1:3" x14ac:dyDescent="0.25">
      <c r="A75" s="117">
        <v>43101</v>
      </c>
      <c r="B75" s="120">
        <v>1.3655011025182064</v>
      </c>
      <c r="C75" s="118">
        <v>3.4272477132519352</v>
      </c>
    </row>
    <row r="77" spans="1:3" x14ac:dyDescent="0.25">
      <c r="B77" s="119">
        <f>B75-B69</f>
        <v>0.25444452057966571</v>
      </c>
      <c r="C77" s="119">
        <f>C75-C69</f>
        <v>-0.12237902041898874</v>
      </c>
    </row>
    <row r="79" spans="1:3" x14ac:dyDescent="0.25">
      <c r="B79" s="119">
        <f>AVERAGE(B16:B75)</f>
        <v>1.3017965546229155</v>
      </c>
      <c r="C79" s="119">
        <f>AVERAGE(C16:C75)</f>
        <v>2.9625910429178455</v>
      </c>
    </row>
    <row r="82" spans="15:18" x14ac:dyDescent="0.25">
      <c r="O82" s="167"/>
      <c r="P82" s="167"/>
      <c r="Q82" s="167"/>
      <c r="R82" s="167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234"/>
  <sheetViews>
    <sheetView showGridLines="0" view="pageBreakPreview" zoomScale="85" zoomScaleNormal="25" zoomScaleSheetLayoutView="85" workbookViewId="0">
      <pane xSplit="1" ySplit="4" topLeftCell="B5" activePane="bottomRight" state="frozen"/>
      <selection activeCell="E27" sqref="E27"/>
      <selection pane="topRight" activeCell="E27" sqref="E27"/>
      <selection pane="bottomLeft" activeCell="E27" sqref="E27"/>
      <selection pane="bottomRight" activeCell="P3" sqref="P3"/>
    </sheetView>
  </sheetViews>
  <sheetFormatPr baseColWidth="10" defaultRowHeight="15" x14ac:dyDescent="0.25"/>
  <cols>
    <col min="1" max="1" width="15" style="38" customWidth="1"/>
    <col min="2" max="2" width="18.7109375" style="38" customWidth="1"/>
    <col min="3" max="3" width="21" style="38" customWidth="1"/>
    <col min="4" max="4" width="18.5703125" style="45" customWidth="1"/>
    <col min="5" max="5" width="17.42578125" style="45" customWidth="1"/>
    <col min="6" max="6" width="20.28515625" style="38" customWidth="1"/>
    <col min="7" max="7" width="20" style="38" customWidth="1"/>
    <col min="8" max="8" width="13" style="38" customWidth="1"/>
    <col min="9" max="9" width="18" style="38" customWidth="1"/>
    <col min="10" max="10" width="11" style="38" customWidth="1"/>
    <col min="11" max="11" width="9.42578125" style="38" customWidth="1"/>
    <col min="12" max="12" width="10.140625" style="38" customWidth="1"/>
    <col min="13" max="13" width="15.5703125" style="38" customWidth="1"/>
    <col min="14" max="14" width="13.28515625" style="38" customWidth="1"/>
    <col min="15" max="15" width="15" style="38" customWidth="1"/>
    <col min="16" max="16" width="18" style="38" bestFit="1" customWidth="1"/>
    <col min="17" max="18" width="18" style="38" customWidth="1"/>
    <col min="19" max="25" width="11.42578125" style="38"/>
    <col min="26" max="26" width="4.85546875" style="38" customWidth="1"/>
    <col min="27" max="16384" width="11.42578125" style="38"/>
  </cols>
  <sheetData>
    <row r="1" spans="1:36" s="25" customFormat="1" ht="24" customHeight="1" x14ac:dyDescent="0.2">
      <c r="A1" s="13">
        <f>10^9</f>
        <v>1000000000</v>
      </c>
      <c r="B1" s="21"/>
      <c r="C1" s="21"/>
      <c r="D1" s="22"/>
      <c r="E1" s="22"/>
      <c r="F1" s="23" t="s">
        <v>5</v>
      </c>
      <c r="G1" s="21"/>
      <c r="H1" s="21"/>
      <c r="I1" s="21"/>
      <c r="J1" s="24"/>
      <c r="K1" s="24"/>
      <c r="L1" s="24"/>
      <c r="M1" s="24"/>
      <c r="N1" s="24"/>
      <c r="O1" s="24"/>
    </row>
    <row r="2" spans="1:36" s="25" customFormat="1" ht="24" customHeight="1" thickBot="1" x14ac:dyDescent="0.25">
      <c r="A2" s="24"/>
      <c r="B2" s="21"/>
      <c r="C2" s="21"/>
      <c r="D2" s="22"/>
      <c r="E2" s="22"/>
      <c r="F2" s="23" t="s">
        <v>6</v>
      </c>
      <c r="G2" s="21"/>
      <c r="H2" s="26"/>
      <c r="I2" s="21"/>
      <c r="J2" s="24"/>
      <c r="K2" s="24"/>
      <c r="L2" s="24"/>
      <c r="M2" s="24"/>
      <c r="N2" s="24"/>
      <c r="O2" s="24"/>
    </row>
    <row r="3" spans="1:36" s="6" customFormat="1" ht="25.5" customHeight="1" thickBot="1" x14ac:dyDescent="0.3">
      <c r="A3" s="172" t="s">
        <v>7</v>
      </c>
      <c r="B3" s="174" t="s">
        <v>8</v>
      </c>
      <c r="C3" s="175"/>
      <c r="D3" s="175"/>
      <c r="E3" s="175"/>
      <c r="F3" s="175"/>
      <c r="G3" s="175"/>
      <c r="H3" s="175"/>
      <c r="I3" s="176"/>
      <c r="J3" s="174" t="s">
        <v>9</v>
      </c>
      <c r="K3" s="175"/>
      <c r="L3" s="175"/>
      <c r="M3" s="175"/>
      <c r="N3" s="175"/>
      <c r="O3" s="176"/>
      <c r="P3" s="27"/>
      <c r="Q3" s="27"/>
      <c r="R3" s="27"/>
    </row>
    <row r="4" spans="1:36" s="33" customFormat="1" ht="30" customHeight="1" thickBot="1" x14ac:dyDescent="0.35">
      <c r="A4" s="173"/>
      <c r="B4" s="28" t="s">
        <v>10</v>
      </c>
      <c r="C4" s="29" t="s">
        <v>11</v>
      </c>
      <c r="D4" s="28" t="s">
        <v>12</v>
      </c>
      <c r="E4" s="29" t="s">
        <v>13</v>
      </c>
      <c r="F4" s="28" t="s">
        <v>14</v>
      </c>
      <c r="G4" s="29" t="s">
        <v>15</v>
      </c>
      <c r="H4" s="28" t="s">
        <v>16</v>
      </c>
      <c r="I4" s="28" t="s">
        <v>17</v>
      </c>
      <c r="J4" s="30" t="s">
        <v>10</v>
      </c>
      <c r="K4" s="28" t="s">
        <v>11</v>
      </c>
      <c r="L4" s="31" t="s">
        <v>18</v>
      </c>
      <c r="M4" s="28" t="s">
        <v>12</v>
      </c>
      <c r="N4" s="28" t="s">
        <v>14</v>
      </c>
      <c r="O4" s="28" t="s">
        <v>17</v>
      </c>
      <c r="P4" s="32"/>
      <c r="Q4" s="32"/>
      <c r="R4" s="32"/>
    </row>
    <row r="5" spans="1:36" x14ac:dyDescent="0.25">
      <c r="A5" s="14">
        <v>36130</v>
      </c>
      <c r="B5" s="13">
        <f>69948976426.6427/(10^9)</f>
        <v>69.948976426642702</v>
      </c>
      <c r="C5" s="13">
        <f>24072099246.5873/(10^9)</f>
        <v>24.0720992465873</v>
      </c>
      <c r="D5" s="13">
        <f>39354812354.6749/(10^9)</f>
        <v>39.354812354674898</v>
      </c>
      <c r="E5" s="13">
        <f>39354812354.6749/(10^9)</f>
        <v>39.354812354674898</v>
      </c>
      <c r="F5" s="13">
        <f t="shared" ref="F5:F41" si="0">0/(10^9)</f>
        <v>0</v>
      </c>
      <c r="G5" s="13">
        <f>133375888027.905/(10^9)</f>
        <v>133.37588802790501</v>
      </c>
      <c r="H5" s="34"/>
      <c r="I5" s="13">
        <f>133375888027.905/(10^9)</f>
        <v>133.37588802790501</v>
      </c>
      <c r="J5" s="35">
        <v>-8.1263422098013294</v>
      </c>
      <c r="K5" s="36">
        <v>-5.1589405884292505</v>
      </c>
      <c r="L5" s="37">
        <v>0.47755438598755529</v>
      </c>
      <c r="M5" s="36">
        <v>0.47755438598755529</v>
      </c>
      <c r="N5" s="37"/>
      <c r="O5" s="36">
        <v>-5.1955992461171991</v>
      </c>
      <c r="P5" s="38">
        <v>0</v>
      </c>
      <c r="Q5" s="38">
        <v>0</v>
      </c>
      <c r="R5" s="39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</row>
    <row r="6" spans="1:36" x14ac:dyDescent="0.25">
      <c r="A6" s="14">
        <v>36161</v>
      </c>
      <c r="B6" s="13">
        <f>68758746182.9746/(10^9)</f>
        <v>68.758746182974591</v>
      </c>
      <c r="C6" s="13">
        <f>24412652307.0976/(10^9)</f>
        <v>24.412652307097598</v>
      </c>
      <c r="D6" s="13">
        <f>38738966299.5313/(10^9)</f>
        <v>38.738966299531306</v>
      </c>
      <c r="E6" s="13">
        <f>38738966299.5313/(10^9)</f>
        <v>38.738966299531306</v>
      </c>
      <c r="F6" s="13">
        <f t="shared" si="0"/>
        <v>0</v>
      </c>
      <c r="G6" s="13">
        <f>131910364789.603/(10^9)</f>
        <v>131.91036478960299</v>
      </c>
      <c r="H6" s="34"/>
      <c r="I6" s="13">
        <f>131910364789.603/(10^9)</f>
        <v>131.91036478960299</v>
      </c>
      <c r="J6" s="35">
        <v>-9.9227624104831431</v>
      </c>
      <c r="K6" s="36">
        <v>-6.9074399859519691</v>
      </c>
      <c r="L6" s="37">
        <v>-2.2970389876895925</v>
      </c>
      <c r="M6" s="36">
        <v>-2.2970389876895925</v>
      </c>
      <c r="N6" s="37"/>
      <c r="O6" s="36">
        <v>-7.2405301515432674</v>
      </c>
      <c r="P6" s="38">
        <v>0</v>
      </c>
      <c r="Q6" s="38">
        <v>0</v>
      </c>
      <c r="R6" s="39"/>
      <c r="S6" s="125" t="s">
        <v>81</v>
      </c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</row>
    <row r="7" spans="1:36" x14ac:dyDescent="0.25">
      <c r="A7" s="14">
        <v>36192</v>
      </c>
      <c r="B7" s="13">
        <f>66039976205.187/(10^9)</f>
        <v>66.039976205187003</v>
      </c>
      <c r="C7" s="13">
        <f>23599174709.5499/(10^9)</f>
        <v>23.599174709549899</v>
      </c>
      <c r="D7" s="13">
        <f>38485091837.7387/(10^9)</f>
        <v>38.4850918377387</v>
      </c>
      <c r="E7" s="13">
        <f>38485091837.7387/(10^9)</f>
        <v>38.4850918377387</v>
      </c>
      <c r="F7" s="13">
        <f t="shared" si="0"/>
        <v>0</v>
      </c>
      <c r="G7" s="13">
        <f>128124242752.476/(10^9)</f>
        <v>128.12424275247599</v>
      </c>
      <c r="H7" s="34"/>
      <c r="I7" s="13">
        <f>128124242752.476/(10^9)</f>
        <v>128.12424275247599</v>
      </c>
      <c r="J7" s="35">
        <v>-11.53805756160936</v>
      </c>
      <c r="K7" s="36">
        <v>-9.0972488849975885</v>
      </c>
      <c r="L7" s="37">
        <v>-1.9665586249590805</v>
      </c>
      <c r="M7" s="36">
        <v>-1.9665586249590805</v>
      </c>
      <c r="N7" s="37"/>
      <c r="O7" s="36">
        <v>-8.3986419221731889</v>
      </c>
      <c r="P7" s="38">
        <v>0</v>
      </c>
      <c r="Q7" s="38">
        <v>0</v>
      </c>
      <c r="R7" s="39"/>
      <c r="S7" s="129" t="s">
        <v>80</v>
      </c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6" x14ac:dyDescent="0.25">
      <c r="A8" s="14">
        <v>36220</v>
      </c>
      <c r="B8" s="13">
        <f>65456654329.8284/(10^9)</f>
        <v>65.456654329828396</v>
      </c>
      <c r="C8" s="13">
        <f>22847999642.8704/(10^9)</f>
        <v>22.847999642870398</v>
      </c>
      <c r="D8" s="13">
        <f>38294405743.488/(10^9)</f>
        <v>38.294405743487999</v>
      </c>
      <c r="E8" s="13">
        <f>38294405743.488/(10^9)</f>
        <v>38.294405743487999</v>
      </c>
      <c r="F8" s="13">
        <f t="shared" si="0"/>
        <v>0</v>
      </c>
      <c r="G8" s="13">
        <f>126599059716.187/(10^9)</f>
        <v>126.599059716187</v>
      </c>
      <c r="H8" s="34"/>
      <c r="I8" s="13">
        <f>126599059716.187/(10^9)</f>
        <v>126.599059716187</v>
      </c>
      <c r="J8" s="35">
        <v>-10.751038824659776</v>
      </c>
      <c r="K8" s="36">
        <v>-10.821825986695121</v>
      </c>
      <c r="L8" s="37">
        <v>-1.8931765632237529</v>
      </c>
      <c r="M8" s="36">
        <v>-1.8931765632237529</v>
      </c>
      <c r="N8" s="37"/>
      <c r="O8" s="36">
        <v>-8.2586508959143536</v>
      </c>
      <c r="P8" s="38">
        <v>0</v>
      </c>
      <c r="Q8" s="38">
        <v>0</v>
      </c>
      <c r="R8" s="39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6" x14ac:dyDescent="0.25">
      <c r="A9" s="14">
        <v>36251</v>
      </c>
      <c r="B9" s="13">
        <f>64575244397.5478/(10^9)</f>
        <v>64.575244397547792</v>
      </c>
      <c r="C9" s="13">
        <f>22397613215.8791/(10^9)</f>
        <v>22.397613215879101</v>
      </c>
      <c r="D9" s="13">
        <f>37864354131.6186/(10^9)</f>
        <v>37.864354131618597</v>
      </c>
      <c r="E9" s="13">
        <f>37864354131.6186/(10^9)</f>
        <v>37.864354131618597</v>
      </c>
      <c r="F9" s="13">
        <f t="shared" si="0"/>
        <v>0</v>
      </c>
      <c r="G9" s="13">
        <f>124837211745.045/(10^9)</f>
        <v>124.837211745045</v>
      </c>
      <c r="H9" s="34"/>
      <c r="I9" s="13">
        <f>124837211745.045/(10^9)</f>
        <v>124.837211745045</v>
      </c>
      <c r="J9" s="35">
        <v>-10.320029507074135</v>
      </c>
      <c r="K9" s="36">
        <v>-11.34315782355656</v>
      </c>
      <c r="L9" s="37">
        <v>-1.9062335602008873</v>
      </c>
      <c r="M9" s="36">
        <v>-1.9062335602008873</v>
      </c>
      <c r="N9" s="37"/>
      <c r="O9" s="36">
        <v>-8.1199346039051541</v>
      </c>
      <c r="P9" s="38">
        <v>0</v>
      </c>
      <c r="Q9" s="38">
        <v>0</v>
      </c>
      <c r="R9" s="39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</row>
    <row r="10" spans="1:36" x14ac:dyDescent="0.25">
      <c r="A10" s="14">
        <v>36281</v>
      </c>
      <c r="B10" s="13">
        <f>64272078667.7362/(10^9)</f>
        <v>64.272078667736196</v>
      </c>
      <c r="C10" s="13">
        <f>21685380284.1472/(10^9)</f>
        <v>21.6853802841472</v>
      </c>
      <c r="D10" s="13">
        <f>37772000564.21/(10^9)</f>
        <v>37.772000564209996</v>
      </c>
      <c r="E10" s="13">
        <f>37772000564.21/(10^9)</f>
        <v>37.772000564209996</v>
      </c>
      <c r="F10" s="13">
        <f t="shared" si="0"/>
        <v>0</v>
      </c>
      <c r="G10" s="13">
        <f>123729459516.093/(10^9)</f>
        <v>123.729459516093</v>
      </c>
      <c r="H10" s="34"/>
      <c r="I10" s="13">
        <f>123729459516.093/(10^9)</f>
        <v>123.729459516093</v>
      </c>
      <c r="J10" s="35">
        <v>-10.966338608850656</v>
      </c>
      <c r="K10" s="36">
        <v>-14.57033598926315</v>
      </c>
      <c r="L10" s="37">
        <v>-2.4644268099916378</v>
      </c>
      <c r="M10" s="36">
        <v>-2.4644268099916378</v>
      </c>
      <c r="N10" s="37"/>
      <c r="O10" s="36">
        <v>-9.2219007023530253</v>
      </c>
      <c r="P10" s="38">
        <v>0</v>
      </c>
      <c r="Q10" s="38">
        <v>0</v>
      </c>
      <c r="R10" s="39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</row>
    <row r="11" spans="1:36" x14ac:dyDescent="0.25">
      <c r="A11" s="14">
        <v>36312</v>
      </c>
      <c r="B11" s="13">
        <f>63647146084.3381/(10^9)</f>
        <v>63.647146084338097</v>
      </c>
      <c r="C11" s="13">
        <f>20214245446.5341/(10^9)</f>
        <v>20.2142454465341</v>
      </c>
      <c r="D11" s="13">
        <f>37639512910.3169/(10^9)</f>
        <v>37.639512910316903</v>
      </c>
      <c r="E11" s="13">
        <f>37639512910.3169/(10^9)</f>
        <v>37.639512910316903</v>
      </c>
      <c r="F11" s="13">
        <f t="shared" si="0"/>
        <v>0</v>
      </c>
      <c r="G11" s="13">
        <f>121500904441.189/(10^9)</f>
        <v>121.50090444118899</v>
      </c>
      <c r="H11" s="34"/>
      <c r="I11" s="13">
        <f>121500904441.189/(10^9)</f>
        <v>121.50090444118899</v>
      </c>
      <c r="J11" s="35">
        <v>-9.9839712771996219</v>
      </c>
      <c r="K11" s="36">
        <v>-19.158701517398157</v>
      </c>
      <c r="L11" s="37">
        <v>-2.5505174079241799</v>
      </c>
      <c r="M11" s="36">
        <v>-2.5505174079241799</v>
      </c>
      <c r="N11" s="37"/>
      <c r="O11" s="36">
        <v>-9.5544381977707751</v>
      </c>
      <c r="P11" s="38">
        <v>0</v>
      </c>
      <c r="Q11" s="38">
        <v>0</v>
      </c>
      <c r="R11" s="39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6"/>
      <c r="AF11" s="126"/>
      <c r="AG11" s="41"/>
      <c r="AH11" s="41"/>
      <c r="AI11" s="41"/>
      <c r="AJ11" s="41"/>
    </row>
    <row r="12" spans="1:36" x14ac:dyDescent="0.25">
      <c r="A12" s="14">
        <v>36342</v>
      </c>
      <c r="B12" s="13">
        <f>64255247163.0807/(10^9)</f>
        <v>64.25524716308071</v>
      </c>
      <c r="C12" s="13">
        <f>19142936021.5532/(10^9)</f>
        <v>19.142936021553201</v>
      </c>
      <c r="D12" s="13">
        <f>37300853684.0447/(10^9)</f>
        <v>37.300853684044704</v>
      </c>
      <c r="E12" s="13">
        <f>37300853684.0447/(10^9)</f>
        <v>37.300853684044704</v>
      </c>
      <c r="F12" s="13">
        <f t="shared" si="0"/>
        <v>0</v>
      </c>
      <c r="G12" s="13">
        <f>120699036868.679/(10^9)</f>
        <v>120.699036868679</v>
      </c>
      <c r="H12" s="34"/>
      <c r="I12" s="13">
        <f>120699036868.679/(10^9)</f>
        <v>120.699036868679</v>
      </c>
      <c r="J12" s="35">
        <v>-8.7761359166482418</v>
      </c>
      <c r="K12" s="36">
        <v>-23.187016312228572</v>
      </c>
      <c r="L12" s="37">
        <v>-4.4648270488606308</v>
      </c>
      <c r="M12" s="36">
        <v>-4.4648270488606308</v>
      </c>
      <c r="N12" s="37"/>
      <c r="O12" s="36">
        <v>-10.195822119192389</v>
      </c>
      <c r="P12" s="38">
        <v>0</v>
      </c>
      <c r="Q12" s="38">
        <v>0</v>
      </c>
      <c r="R12" s="39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6"/>
      <c r="AF12" s="126"/>
      <c r="AG12" s="41"/>
      <c r="AH12" s="41"/>
      <c r="AI12" s="41"/>
      <c r="AJ12" s="41"/>
    </row>
    <row r="13" spans="1:36" x14ac:dyDescent="0.25">
      <c r="A13" s="14">
        <v>36373</v>
      </c>
      <c r="B13" s="13">
        <f>63337273507.357/(10^9)</f>
        <v>63.337273507357004</v>
      </c>
      <c r="C13" s="13">
        <f>18375007272.6416/(10^9)</f>
        <v>18.3750072726416</v>
      </c>
      <c r="D13" s="13">
        <f>36995701627.5596/(10^9)</f>
        <v>36.995701627559598</v>
      </c>
      <c r="E13" s="13">
        <f>36995701627.5596/(10^9)</f>
        <v>36.995701627559598</v>
      </c>
      <c r="F13" s="13">
        <f t="shared" si="0"/>
        <v>0</v>
      </c>
      <c r="G13" s="13">
        <f>118707982407.558/(10^9)</f>
        <v>118.70798240755799</v>
      </c>
      <c r="H13" s="34"/>
      <c r="I13" s="13">
        <f>118707982407.558/(10^9)</f>
        <v>118.70798240755799</v>
      </c>
      <c r="J13" s="35">
        <v>-10.370037984094294</v>
      </c>
      <c r="K13" s="36">
        <v>-26.943617741008985</v>
      </c>
      <c r="L13" s="37">
        <v>-7.0768109496399667</v>
      </c>
      <c r="M13" s="36">
        <v>-7.0768109496399667</v>
      </c>
      <c r="N13" s="37"/>
      <c r="O13" s="36">
        <v>-12.476806735196144</v>
      </c>
      <c r="P13" s="38">
        <v>0</v>
      </c>
      <c r="Q13" s="38">
        <v>0</v>
      </c>
      <c r="R13" s="39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</row>
    <row r="14" spans="1:36" x14ac:dyDescent="0.25">
      <c r="A14" s="14">
        <v>36404</v>
      </c>
      <c r="B14" s="13">
        <f>64784475036.3529/(10^9)</f>
        <v>64.784475036352902</v>
      </c>
      <c r="C14" s="13">
        <f>17899051583.6859/(10^9)</f>
        <v>17.899051583685903</v>
      </c>
      <c r="D14" s="13">
        <f>37325189522.7117/(10^9)</f>
        <v>37.325189522711703</v>
      </c>
      <c r="E14" s="13">
        <f>37325189522.7117/(10^9)</f>
        <v>37.325189522711703</v>
      </c>
      <c r="F14" s="13">
        <f t="shared" si="0"/>
        <v>0</v>
      </c>
      <c r="G14" s="13">
        <f>120008716142.75/(10^9)</f>
        <v>120.00871614275</v>
      </c>
      <c r="H14" s="34"/>
      <c r="I14" s="13">
        <f>120008716142.75/(10^9)</f>
        <v>120.00871614275</v>
      </c>
      <c r="J14" s="35">
        <v>-9.853079769185447</v>
      </c>
      <c r="K14" s="36">
        <v>-28.191946830049787</v>
      </c>
      <c r="L14" s="37">
        <v>-7.2180900232109657</v>
      </c>
      <c r="M14" s="36">
        <v>-7.2180900232109657</v>
      </c>
      <c r="N14" s="37"/>
      <c r="O14" s="36">
        <v>-12.415586056757855</v>
      </c>
      <c r="P14" s="38">
        <v>0</v>
      </c>
      <c r="Q14" s="38">
        <v>0</v>
      </c>
      <c r="R14" s="39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</row>
    <row r="15" spans="1:36" x14ac:dyDescent="0.25">
      <c r="A15" s="14">
        <v>36434</v>
      </c>
      <c r="B15" s="13">
        <f>63518043816.395/(10^9)</f>
        <v>63.518043816395</v>
      </c>
      <c r="C15" s="13">
        <f>17455922856.6304/(10^9)</f>
        <v>17.455922856630401</v>
      </c>
      <c r="D15" s="13">
        <f>36641289877.8595/(10^9)</f>
        <v>36.641289877859499</v>
      </c>
      <c r="E15" s="13">
        <f>36641289877.8595/(10^9)</f>
        <v>36.641289877859499</v>
      </c>
      <c r="F15" s="13">
        <f t="shared" si="0"/>
        <v>0</v>
      </c>
      <c r="G15" s="13">
        <f>117615256550.885/(10^9)</f>
        <v>117.61525655088499</v>
      </c>
      <c r="H15" s="34"/>
      <c r="I15" s="13">
        <f>117615256550.885/(10^9)</f>
        <v>117.61525655088499</v>
      </c>
      <c r="J15" s="35">
        <v>-10.945887806491971</v>
      </c>
      <c r="K15" s="36">
        <v>-30.118715776932703</v>
      </c>
      <c r="L15" s="37">
        <v>-4.6151795777472415</v>
      </c>
      <c r="M15" s="36">
        <v>-4.6151795777472415</v>
      </c>
      <c r="N15" s="37"/>
      <c r="O15" s="36">
        <v>-12.695730885223211</v>
      </c>
      <c r="P15" s="38">
        <v>0</v>
      </c>
      <c r="Q15" s="38">
        <v>0</v>
      </c>
      <c r="R15" s="39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</row>
    <row r="16" spans="1:36" x14ac:dyDescent="0.25">
      <c r="A16" s="14">
        <v>36465</v>
      </c>
      <c r="B16" s="13">
        <f>63986514428.1766/(10^9)</f>
        <v>63.986514428176598</v>
      </c>
      <c r="C16" s="13">
        <f>17276531966.7905/(10^9)</f>
        <v>17.2765319667905</v>
      </c>
      <c r="D16" s="13">
        <f>36844059420.9245/(10^9)</f>
        <v>36.844059420924502</v>
      </c>
      <c r="E16" s="13">
        <f>36844059420.9245/(10^9)</f>
        <v>36.844059420924502</v>
      </c>
      <c r="F16" s="13">
        <f t="shared" si="0"/>
        <v>0</v>
      </c>
      <c r="G16" s="13">
        <f>118107105815.892/(10^9)</f>
        <v>118.107105815892</v>
      </c>
      <c r="H16" s="34"/>
      <c r="I16" s="13">
        <f>118107105815.892/(10^9)</f>
        <v>118.107105815892</v>
      </c>
      <c r="J16" s="35">
        <v>-9.7541447102814196</v>
      </c>
      <c r="K16" s="36">
        <v>-30.055819766259305</v>
      </c>
      <c r="L16" s="37">
        <v>-5.4909719827205379</v>
      </c>
      <c r="M16" s="36">
        <v>-5.4909719827205379</v>
      </c>
      <c r="N16" s="37"/>
      <c r="O16" s="36">
        <v>-12.245177711626987</v>
      </c>
      <c r="P16" s="38">
        <v>0</v>
      </c>
      <c r="Q16" s="38">
        <v>0</v>
      </c>
      <c r="R16" s="39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</row>
    <row r="17" spans="1:32" x14ac:dyDescent="0.25">
      <c r="A17" s="14">
        <v>36495</v>
      </c>
      <c r="B17" s="13">
        <f>63363055071.5926/(10^9)</f>
        <v>63.363055071592598</v>
      </c>
      <c r="C17" s="13">
        <f>15999443900.5107/(10^9)</f>
        <v>15.9994439005107</v>
      </c>
      <c r="D17" s="13">
        <f>36926362029.6639/(10^9)</f>
        <v>36.926362029663899</v>
      </c>
      <c r="E17" s="13">
        <f>36926362029.6639/(10^9)</f>
        <v>36.926362029663899</v>
      </c>
      <c r="F17" s="13">
        <f t="shared" si="0"/>
        <v>0</v>
      </c>
      <c r="G17" s="13">
        <f>116288861001.767/(10^9)</f>
        <v>116.288861001767</v>
      </c>
      <c r="H17" s="34">
        <f t="shared" ref="H17:H80" si="1">+(G17/G5-1)*100</f>
        <v>-12.811181450250618</v>
      </c>
      <c r="I17" s="13">
        <f>116288861001.767/(10^9)</f>
        <v>116.288861001767</v>
      </c>
      <c r="J17" s="34">
        <f t="shared" ref="J17:N75" si="2">((B17/B5)-1)*100</f>
        <v>-9.4153219839563036</v>
      </c>
      <c r="K17" s="34">
        <f t="shared" si="2"/>
        <v>-33.535319306317078</v>
      </c>
      <c r="L17" s="34">
        <f t="shared" si="2"/>
        <v>-6.1706565975343182</v>
      </c>
      <c r="M17" s="34">
        <f t="shared" si="2"/>
        <v>-6.1706565975343182</v>
      </c>
      <c r="N17" s="34"/>
      <c r="O17" s="42">
        <f t="shared" ref="O17:O80" si="3">+(I17/I5-1)*100</f>
        <v>-12.811181450250618</v>
      </c>
      <c r="P17" s="38">
        <v>0</v>
      </c>
      <c r="Q17" s="38">
        <v>0</v>
      </c>
      <c r="R17" s="39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</row>
    <row r="18" spans="1:32" x14ac:dyDescent="0.25">
      <c r="A18" s="14">
        <v>36526</v>
      </c>
      <c r="B18" s="13">
        <f>61945876484.7021/(10^9)</f>
        <v>61.945876484702104</v>
      </c>
      <c r="C18" s="13">
        <f>15904320076.2148/(10^9)</f>
        <v>15.9043200762148</v>
      </c>
      <c r="D18" s="13">
        <f>35096094333.6848/(10^9)</f>
        <v>35.096094333684796</v>
      </c>
      <c r="E18" s="13">
        <f>35096094333.6848/(10^9)</f>
        <v>35.096094333684796</v>
      </c>
      <c r="F18" s="13">
        <f t="shared" si="0"/>
        <v>0</v>
      </c>
      <c r="G18" s="13">
        <f>112946290894.602/(10^9)</f>
        <v>112.946290894602</v>
      </c>
      <c r="H18" s="34">
        <f t="shared" si="1"/>
        <v>-14.376485066392386</v>
      </c>
      <c r="I18" s="13">
        <f>112946290894.602/(10^9)</f>
        <v>112.946290894602</v>
      </c>
      <c r="J18" s="34">
        <f t="shared" si="2"/>
        <v>-9.9083681371133316</v>
      </c>
      <c r="K18" s="34">
        <f t="shared" si="2"/>
        <v>-34.85214192973671</v>
      </c>
      <c r="L18" s="34">
        <f t="shared" si="2"/>
        <v>-9.4036375097870994</v>
      </c>
      <c r="M18" s="34">
        <f t="shared" si="2"/>
        <v>-9.4036375097870994</v>
      </c>
      <c r="N18" s="34"/>
      <c r="O18" s="42">
        <f t="shared" si="3"/>
        <v>-14.376485066392386</v>
      </c>
      <c r="P18" s="38">
        <v>0</v>
      </c>
      <c r="Q18" s="38">
        <v>0</v>
      </c>
      <c r="R18" s="39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</row>
    <row r="19" spans="1:32" x14ac:dyDescent="0.25">
      <c r="A19" s="14">
        <v>36557</v>
      </c>
      <c r="B19" s="13">
        <f>58817913337.1618/(10^9)</f>
        <v>58.817913337161798</v>
      </c>
      <c r="C19" s="13">
        <f>15053132907.8068/(10^9)</f>
        <v>15.0531329078068</v>
      </c>
      <c r="D19" s="13">
        <f>32892823488.6992/(10^9)</f>
        <v>32.8928234886992</v>
      </c>
      <c r="E19" s="13">
        <f>32892823488.6992/(10^9)</f>
        <v>32.8928234886992</v>
      </c>
      <c r="F19" s="13">
        <f t="shared" si="0"/>
        <v>0</v>
      </c>
      <c r="G19" s="13">
        <f>106763869733.668/(10^9)</f>
        <v>106.763869733668</v>
      </c>
      <c r="H19" s="34">
        <f t="shared" si="1"/>
        <v>-16.671609181780077</v>
      </c>
      <c r="I19" s="13">
        <f>106763869733.668/(10^9)</f>
        <v>106.763869733668</v>
      </c>
      <c r="J19" s="34">
        <f t="shared" si="2"/>
        <v>-10.935895624168868</v>
      </c>
      <c r="K19" s="34">
        <f t="shared" si="2"/>
        <v>-36.213307909809089</v>
      </c>
      <c r="L19" s="34">
        <f t="shared" si="2"/>
        <v>-14.530999101204401</v>
      </c>
      <c r="M19" s="34">
        <f t="shared" si="2"/>
        <v>-14.530999101204401</v>
      </c>
      <c r="N19" s="34"/>
      <c r="O19" s="42">
        <f t="shared" si="3"/>
        <v>-16.671609181780077</v>
      </c>
      <c r="P19" s="38">
        <v>0</v>
      </c>
      <c r="Q19" s="38">
        <v>0</v>
      </c>
      <c r="R19" s="39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</row>
    <row r="20" spans="1:32" x14ac:dyDescent="0.25">
      <c r="A20" s="14">
        <v>36586</v>
      </c>
      <c r="B20" s="13">
        <f>57748930969.8758/(10^9)</f>
        <v>57.748930969875801</v>
      </c>
      <c r="C20" s="13">
        <f>14574073535.4624/(10^9)</f>
        <v>14.5740735354624</v>
      </c>
      <c r="D20" s="13">
        <f>31585035026.5301/(10^9)</f>
        <v>31.5850350265301</v>
      </c>
      <c r="E20" s="13">
        <f>31585035026.5301/(10^9)</f>
        <v>31.5850350265301</v>
      </c>
      <c r="F20" s="13">
        <f t="shared" si="0"/>
        <v>0</v>
      </c>
      <c r="G20" s="13">
        <f>103908039531.868/(10^9)</f>
        <v>103.908039531868</v>
      </c>
      <c r="H20" s="34">
        <f t="shared" si="1"/>
        <v>-17.923529791760153</v>
      </c>
      <c r="I20" s="13">
        <f>103908039531.868/(10^9)</f>
        <v>103.908039531868</v>
      </c>
      <c r="J20" s="34">
        <f t="shared" si="2"/>
        <v>-11.775309078759634</v>
      </c>
      <c r="K20" s="34">
        <f t="shared" si="2"/>
        <v>-36.212912450696024</v>
      </c>
      <c r="L20" s="34">
        <f t="shared" si="2"/>
        <v>-17.520498325264743</v>
      </c>
      <c r="M20" s="34">
        <f t="shared" si="2"/>
        <v>-17.520498325264743</v>
      </c>
      <c r="N20" s="34"/>
      <c r="O20" s="42">
        <f t="shared" si="3"/>
        <v>-17.923529791760153</v>
      </c>
      <c r="P20" s="38">
        <v>0</v>
      </c>
      <c r="Q20" s="38">
        <v>0</v>
      </c>
      <c r="R20" s="39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</row>
    <row r="21" spans="1:32" x14ac:dyDescent="0.25">
      <c r="A21" s="14">
        <v>36617</v>
      </c>
      <c r="B21" s="13">
        <f>57207339612.4571/(10^9)</f>
        <v>57.207339612457098</v>
      </c>
      <c r="C21" s="13">
        <f>14453907785.4147/(10^9)</f>
        <v>14.4539077854147</v>
      </c>
      <c r="D21" s="13">
        <f>31463084142.3698/(10^9)</f>
        <v>31.463084142369802</v>
      </c>
      <c r="E21" s="13">
        <f>31463084142.3698/(10^9)</f>
        <v>31.463084142369802</v>
      </c>
      <c r="F21" s="13">
        <f t="shared" si="0"/>
        <v>0</v>
      </c>
      <c r="G21" s="13">
        <f>103124331540.242/(10^9)</f>
        <v>103.12433154024201</v>
      </c>
      <c r="H21" s="34">
        <f t="shared" si="1"/>
        <v>-17.392955114334974</v>
      </c>
      <c r="I21" s="13">
        <f>103124331540.242/(10^9)</f>
        <v>103.12433154024201</v>
      </c>
      <c r="J21" s="34">
        <f t="shared" si="2"/>
        <v>-11.409797754277617</v>
      </c>
      <c r="K21" s="34">
        <f t="shared" si="2"/>
        <v>-35.466749755427514</v>
      </c>
      <c r="L21" s="34">
        <f t="shared" si="2"/>
        <v>-16.905794740345037</v>
      </c>
      <c r="M21" s="34">
        <f t="shared" si="2"/>
        <v>-16.905794740345037</v>
      </c>
      <c r="N21" s="34"/>
      <c r="O21" s="42">
        <f t="shared" si="3"/>
        <v>-17.392955114334974</v>
      </c>
      <c r="P21" s="38">
        <v>0</v>
      </c>
      <c r="Q21" s="38">
        <v>0</v>
      </c>
      <c r="R21" s="39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</row>
    <row r="22" spans="1:32" x14ac:dyDescent="0.25">
      <c r="A22" s="14">
        <v>36647</v>
      </c>
      <c r="B22" s="13">
        <f>57229946177.3067/(10^9)</f>
        <v>57.229946177306701</v>
      </c>
      <c r="C22" s="13">
        <f>14450274571.8573/(10^9)</f>
        <v>14.4502745718573</v>
      </c>
      <c r="D22" s="13">
        <f>31308231683.9317/(10^9)</f>
        <v>31.308231683931702</v>
      </c>
      <c r="E22" s="13">
        <f>31308231683.9317/(10^9)</f>
        <v>31.308231683931702</v>
      </c>
      <c r="F22" s="13">
        <f t="shared" si="0"/>
        <v>0</v>
      </c>
      <c r="G22" s="13">
        <f>102988452433.096/(10^9)</f>
        <v>102.98845243309599</v>
      </c>
      <c r="H22" s="34">
        <f t="shared" si="1"/>
        <v>-16.76319218083977</v>
      </c>
      <c r="I22" s="13">
        <f>102988452433.096/(10^9)</f>
        <v>102.98845243309599</v>
      </c>
      <c r="J22" s="34">
        <f t="shared" si="2"/>
        <v>-10.956752350946697</v>
      </c>
      <c r="K22" s="34">
        <f t="shared" si="2"/>
        <v>-33.363978945663341</v>
      </c>
      <c r="L22" s="34">
        <f t="shared" si="2"/>
        <v>-17.112593412388367</v>
      </c>
      <c r="M22" s="34">
        <f t="shared" si="2"/>
        <v>-17.112593412388367</v>
      </c>
      <c r="N22" s="34"/>
      <c r="O22" s="42">
        <f t="shared" si="3"/>
        <v>-16.76319218083977</v>
      </c>
      <c r="P22" s="38">
        <v>0</v>
      </c>
      <c r="Q22" s="38">
        <v>0</v>
      </c>
      <c r="R22" s="39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</row>
    <row r="23" spans="1:32" x14ac:dyDescent="0.25">
      <c r="A23" s="14">
        <v>36678</v>
      </c>
      <c r="B23" s="13">
        <f>57011254961.1107/(10^9)</f>
        <v>57.011254961110701</v>
      </c>
      <c r="C23" s="13">
        <f>14567405456.3793/(10^9)</f>
        <v>14.5674054563793</v>
      </c>
      <c r="D23" s="13">
        <f>31042254583.4567/(10^9)</f>
        <v>31.0422545834567</v>
      </c>
      <c r="E23" s="13">
        <f>31042254583.4567/(10^9)</f>
        <v>31.0422545834567</v>
      </c>
      <c r="F23" s="13">
        <f t="shared" si="0"/>
        <v>0</v>
      </c>
      <c r="G23" s="13">
        <f>102620915000.947/(10^9)</f>
        <v>102.62091500094701</v>
      </c>
      <c r="H23" s="34">
        <f t="shared" si="1"/>
        <v>-15.538970287567377</v>
      </c>
      <c r="I23" s="13">
        <f>102620915000.947/(10^9)</f>
        <v>102.62091500094701</v>
      </c>
      <c r="J23" s="34">
        <f t="shared" si="2"/>
        <v>-10.426062331898201</v>
      </c>
      <c r="K23" s="34">
        <f t="shared" si="2"/>
        <v>-27.934953125460339</v>
      </c>
      <c r="L23" s="34">
        <f t="shared" si="2"/>
        <v>-17.527480609484481</v>
      </c>
      <c r="M23" s="34">
        <f t="shared" si="2"/>
        <v>-17.527480609484481</v>
      </c>
      <c r="N23" s="34"/>
      <c r="O23" s="42">
        <f t="shared" si="3"/>
        <v>-15.538970287567377</v>
      </c>
      <c r="P23" s="38">
        <v>0</v>
      </c>
      <c r="Q23" s="38">
        <v>0</v>
      </c>
      <c r="R23" s="39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</row>
    <row r="24" spans="1:32" x14ac:dyDescent="0.25">
      <c r="A24" s="14">
        <v>36708</v>
      </c>
      <c r="B24" s="13">
        <f>56505281898.9056/(10^9)</f>
        <v>56.505281898905601</v>
      </c>
      <c r="C24" s="13">
        <f>14665106148.6233/(10^9)</f>
        <v>14.6651061486233</v>
      </c>
      <c r="D24" s="13">
        <f>30716220130.0398/(10^9)</f>
        <v>30.716220130039797</v>
      </c>
      <c r="E24" s="13">
        <f>30716220130.0398/(10^9)</f>
        <v>30.716220130039797</v>
      </c>
      <c r="F24" s="13">
        <f t="shared" si="0"/>
        <v>0</v>
      </c>
      <c r="G24" s="13">
        <f>101886608177.569/(10^9)</f>
        <v>101.886608177569</v>
      </c>
      <c r="H24" s="34">
        <f t="shared" si="1"/>
        <v>-15.586229334686397</v>
      </c>
      <c r="I24" s="13">
        <f>101886608177.569/(10^9)</f>
        <v>101.886608177569</v>
      </c>
      <c r="J24" s="34">
        <f t="shared" si="2"/>
        <v>-12.061217731379337</v>
      </c>
      <c r="K24" s="34">
        <f t="shared" si="2"/>
        <v>-23.391552204365475</v>
      </c>
      <c r="L24" s="34">
        <f t="shared" si="2"/>
        <v>-17.652769048611503</v>
      </c>
      <c r="M24" s="34">
        <f t="shared" si="2"/>
        <v>-17.652769048611503</v>
      </c>
      <c r="N24" s="34"/>
      <c r="O24" s="42">
        <f t="shared" si="3"/>
        <v>-15.586229334686397</v>
      </c>
      <c r="P24" s="38">
        <v>0</v>
      </c>
      <c r="Q24" s="38">
        <v>0</v>
      </c>
      <c r="R24" s="39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</row>
    <row r="25" spans="1:32" x14ac:dyDescent="0.25">
      <c r="A25" s="14">
        <v>36739</v>
      </c>
      <c r="B25" s="13">
        <f>57012864748.2307/(10^9)</f>
        <v>57.012864748230697</v>
      </c>
      <c r="C25" s="13">
        <f>14748541327.8661/(10^9)</f>
        <v>14.7485413278661</v>
      </c>
      <c r="D25" s="13">
        <f>28554585237.3663/(10^9)</f>
        <v>28.5545852373663</v>
      </c>
      <c r="E25" s="13">
        <f>28554585237.3663/(10^9)</f>
        <v>28.5545852373663</v>
      </c>
      <c r="F25" s="13">
        <f t="shared" si="0"/>
        <v>0</v>
      </c>
      <c r="G25" s="13">
        <f>100315991313.463/(10^9)</f>
        <v>100.315991313463</v>
      </c>
      <c r="H25" s="34">
        <f t="shared" si="1"/>
        <v>-15.493474592930145</v>
      </c>
      <c r="I25" s="13">
        <f>100315991313.463/(10^9)</f>
        <v>100.315991313463</v>
      </c>
      <c r="J25" s="34">
        <f t="shared" si="2"/>
        <v>-9.9852873496231069</v>
      </c>
      <c r="K25" s="34">
        <f t="shared" si="2"/>
        <v>-19.735861275956701</v>
      </c>
      <c r="L25" s="34">
        <f t="shared" si="2"/>
        <v>-22.816478722774558</v>
      </c>
      <c r="M25" s="34">
        <f t="shared" si="2"/>
        <v>-22.816478722774558</v>
      </c>
      <c r="N25" s="34"/>
      <c r="O25" s="42">
        <f t="shared" si="3"/>
        <v>-15.493474592930145</v>
      </c>
      <c r="P25" s="38">
        <v>0</v>
      </c>
      <c r="Q25" s="38">
        <v>0</v>
      </c>
      <c r="R25" s="39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</row>
    <row r="26" spans="1:32" x14ac:dyDescent="0.25">
      <c r="A26" s="14">
        <v>36770</v>
      </c>
      <c r="B26" s="13">
        <f>57133988491.7851/(10^9)</f>
        <v>57.133988491785104</v>
      </c>
      <c r="C26" s="13">
        <f>14594887015.418/(10^9)</f>
        <v>14.594887015417999</v>
      </c>
      <c r="D26" s="13">
        <f>28612610736.4713/(10^9)</f>
        <v>28.612610736471296</v>
      </c>
      <c r="E26" s="13">
        <f>28612610736.4713/(10^9)</f>
        <v>28.612610736471296</v>
      </c>
      <c r="F26" s="13">
        <f t="shared" si="0"/>
        <v>0</v>
      </c>
      <c r="G26" s="13">
        <f>100341486243.674/(10^9)</f>
        <v>100.341486243674</v>
      </c>
      <c r="H26" s="34">
        <f t="shared" si="1"/>
        <v>-16.388167902472929</v>
      </c>
      <c r="I26" s="13">
        <f>100341486243.674/(10^9)</f>
        <v>100.341486243674</v>
      </c>
      <c r="J26" s="34">
        <f t="shared" si="2"/>
        <v>-11.809135661398562</v>
      </c>
      <c r="K26" s="34">
        <f t="shared" si="2"/>
        <v>-18.459998021791758</v>
      </c>
      <c r="L26" s="34">
        <f t="shared" si="2"/>
        <v>-23.342356455923575</v>
      </c>
      <c r="M26" s="34">
        <f t="shared" si="2"/>
        <v>-23.342356455923575</v>
      </c>
      <c r="N26" s="34"/>
      <c r="O26" s="42">
        <f t="shared" si="3"/>
        <v>-16.388167902472929</v>
      </c>
      <c r="P26" s="38">
        <v>0</v>
      </c>
      <c r="Q26" s="38">
        <v>0</v>
      </c>
      <c r="R26" s="39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</row>
    <row r="27" spans="1:32" x14ac:dyDescent="0.25">
      <c r="A27" s="14">
        <v>36800</v>
      </c>
      <c r="B27" s="13">
        <f>56154155951.1251/(10^9)</f>
        <v>56.154155951125098</v>
      </c>
      <c r="C27" s="13">
        <f>14293556657.0061/(10^9)</f>
        <v>14.2935566570061</v>
      </c>
      <c r="D27" s="13">
        <f>27776235245.2544/(10^9)</f>
        <v>27.776235245254398</v>
      </c>
      <c r="E27" s="13">
        <f>27776235245.2544/(10^9)</f>
        <v>27.776235245254398</v>
      </c>
      <c r="F27" s="13">
        <f t="shared" si="0"/>
        <v>0</v>
      </c>
      <c r="G27" s="13">
        <f>98223947853.3857/(10^9)</f>
        <v>98.223947853385695</v>
      </c>
      <c r="H27" s="34">
        <f t="shared" si="1"/>
        <v>-16.487069166158609</v>
      </c>
      <c r="I27" s="13">
        <f>98223947853.3857/(10^9)</f>
        <v>98.223947853385695</v>
      </c>
      <c r="J27" s="34">
        <f t="shared" si="2"/>
        <v>-11.593379491591282</v>
      </c>
      <c r="K27" s="34">
        <f t="shared" si="2"/>
        <v>-18.116293395643179</v>
      </c>
      <c r="L27" s="34">
        <f t="shared" si="2"/>
        <v>-24.194166368476587</v>
      </c>
      <c r="M27" s="34">
        <f t="shared" si="2"/>
        <v>-24.194166368476587</v>
      </c>
      <c r="N27" s="34"/>
      <c r="O27" s="42">
        <f t="shared" si="3"/>
        <v>-16.487069166158609</v>
      </c>
      <c r="P27" s="38">
        <v>0</v>
      </c>
      <c r="Q27" s="38">
        <v>0</v>
      </c>
      <c r="R27" s="39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</row>
    <row r="28" spans="1:32" x14ac:dyDescent="0.25">
      <c r="A28" s="14">
        <v>36831</v>
      </c>
      <c r="B28" s="13">
        <f>56158486435.6769/(10^9)</f>
        <v>56.158486435676906</v>
      </c>
      <c r="C28" s="13">
        <f>14275220182.8462/(10^9)</f>
        <v>14.275220182846201</v>
      </c>
      <c r="D28" s="13">
        <f>27553585720.7358/(10^9)</f>
        <v>27.5535857207358</v>
      </c>
      <c r="E28" s="13">
        <f>27553585720.7358/(10^9)</f>
        <v>27.5535857207358</v>
      </c>
      <c r="F28" s="13">
        <f t="shared" si="0"/>
        <v>0</v>
      </c>
      <c r="G28" s="13">
        <f>97987292339.2589/(10^9)</f>
        <v>97.9872923392589</v>
      </c>
      <c r="H28" s="34">
        <f t="shared" si="1"/>
        <v>-17.035226913439327</v>
      </c>
      <c r="I28" s="13">
        <f>97987292339.2589/(10^9)</f>
        <v>97.9872923392589</v>
      </c>
      <c r="J28" s="34">
        <f t="shared" si="2"/>
        <v>-12.23387156255632</v>
      </c>
      <c r="K28" s="34">
        <f t="shared" si="2"/>
        <v>-17.372188988585879</v>
      </c>
      <c r="L28" s="34">
        <f t="shared" si="2"/>
        <v>-25.215662568692011</v>
      </c>
      <c r="M28" s="34">
        <f t="shared" si="2"/>
        <v>-25.215662568692011</v>
      </c>
      <c r="N28" s="34"/>
      <c r="O28" s="42">
        <f t="shared" si="3"/>
        <v>-17.035226913439327</v>
      </c>
      <c r="P28" s="38">
        <v>0</v>
      </c>
      <c r="Q28" s="38">
        <v>0</v>
      </c>
      <c r="R28" s="39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</row>
    <row r="29" spans="1:32" x14ac:dyDescent="0.25">
      <c r="A29" s="14">
        <v>36861</v>
      </c>
      <c r="B29" s="13">
        <f>56866417286.7353/(10^9)</f>
        <v>56.866417286735299</v>
      </c>
      <c r="C29" s="13">
        <f>14054323594.9963/(10^9)</f>
        <v>14.054323594996299</v>
      </c>
      <c r="D29" s="13">
        <f>27228259601.7147/(10^9)</f>
        <v>27.228259601714697</v>
      </c>
      <c r="E29" s="13">
        <f>27228259601.7147/(10^9)</f>
        <v>27.228259601714697</v>
      </c>
      <c r="F29" s="13">
        <f t="shared" si="0"/>
        <v>0</v>
      </c>
      <c r="G29" s="13">
        <f>98149000483.4463/(10^9)</f>
        <v>98.149000483446301</v>
      </c>
      <c r="H29" s="34">
        <f t="shared" si="1"/>
        <v>-15.598966540780779</v>
      </c>
      <c r="I29" s="13">
        <f>98149000483.4463/(10^9)</f>
        <v>98.149000483446301</v>
      </c>
      <c r="J29" s="34">
        <f t="shared" si="2"/>
        <v>-10.253037479832505</v>
      </c>
      <c r="K29" s="34">
        <f t="shared" si="2"/>
        <v>-12.157424455560683</v>
      </c>
      <c r="L29" s="34">
        <f t="shared" si="2"/>
        <v>-26.263357381803452</v>
      </c>
      <c r="M29" s="34">
        <f t="shared" si="2"/>
        <v>-26.263357381803452</v>
      </c>
      <c r="N29" s="34"/>
      <c r="O29" s="42">
        <f t="shared" si="3"/>
        <v>-15.598966540780779</v>
      </c>
      <c r="P29" s="38">
        <v>0</v>
      </c>
      <c r="Q29" s="38">
        <v>0</v>
      </c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</row>
    <row r="30" spans="1:32" x14ac:dyDescent="0.25">
      <c r="A30" s="14">
        <v>36892</v>
      </c>
      <c r="B30" s="13">
        <f>55785656414.1631/(10^9)</f>
        <v>55.7856564141631</v>
      </c>
      <c r="C30" s="13">
        <f>14018340838.5833/(10^9)</f>
        <v>14.018340838583299</v>
      </c>
      <c r="D30" s="13">
        <f>26911666361.7139/(10^9)</f>
        <v>26.911666361713902</v>
      </c>
      <c r="E30" s="13">
        <f>26911666361.7139/(10^9)</f>
        <v>26.911666361713902</v>
      </c>
      <c r="F30" s="13">
        <f t="shared" si="0"/>
        <v>0</v>
      </c>
      <c r="G30" s="13">
        <f>96715663614.4603/(10^9)</f>
        <v>96.715663614460297</v>
      </c>
      <c r="H30" s="34">
        <f t="shared" si="1"/>
        <v>-14.370217163915211</v>
      </c>
      <c r="I30" s="13">
        <f>96715663614.4603/(10^9)</f>
        <v>96.715663614460297</v>
      </c>
      <c r="J30" s="34">
        <f t="shared" si="2"/>
        <v>-9.9445199908670396</v>
      </c>
      <c r="K30" s="34">
        <f t="shared" si="2"/>
        <v>-11.85828270931253</v>
      </c>
      <c r="L30" s="34">
        <f t="shared" si="2"/>
        <v>-23.320053491295699</v>
      </c>
      <c r="M30" s="34">
        <f t="shared" si="2"/>
        <v>-23.320053491295699</v>
      </c>
      <c r="N30" s="34"/>
      <c r="O30" s="42">
        <f t="shared" si="3"/>
        <v>-14.370217163915211</v>
      </c>
      <c r="P30" s="38">
        <v>0</v>
      </c>
      <c r="Q30" s="38">
        <v>0</v>
      </c>
      <c r="S30" s="128" t="s">
        <v>0</v>
      </c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</row>
    <row r="31" spans="1:32" x14ac:dyDescent="0.25">
      <c r="A31" s="14">
        <v>36923</v>
      </c>
      <c r="B31" s="13">
        <f>55182241904.7037/(10^9)</f>
        <v>55.182241904703695</v>
      </c>
      <c r="C31" s="13">
        <f>13964341673.4878/(10^9)</f>
        <v>13.9643416734878</v>
      </c>
      <c r="D31" s="13">
        <f>26456183541.4833/(10^9)</f>
        <v>26.456183541483298</v>
      </c>
      <c r="E31" s="13">
        <f>26456183541.4833/(10^9)</f>
        <v>26.456183541483298</v>
      </c>
      <c r="F31" s="13">
        <f t="shared" si="0"/>
        <v>0</v>
      </c>
      <c r="G31" s="13">
        <f>95602767119.6748/(10^9)</f>
        <v>95.602767119674809</v>
      </c>
      <c r="H31" s="34">
        <f t="shared" si="1"/>
        <v>-10.454007185984882</v>
      </c>
      <c r="I31" s="13">
        <f>95602767119.6748/(10^9)</f>
        <v>95.602767119674809</v>
      </c>
      <c r="J31" s="34">
        <f t="shared" si="2"/>
        <v>-6.1812315775592879</v>
      </c>
      <c r="K31" s="34">
        <f t="shared" si="2"/>
        <v>-7.2329875846265601</v>
      </c>
      <c r="L31" s="34">
        <f t="shared" si="2"/>
        <v>-19.568523661178862</v>
      </c>
      <c r="M31" s="34">
        <f t="shared" si="2"/>
        <v>-19.568523661178862</v>
      </c>
      <c r="N31" s="34"/>
      <c r="O31" s="42">
        <f t="shared" si="3"/>
        <v>-10.454007185984882</v>
      </c>
      <c r="P31" s="38">
        <v>0</v>
      </c>
      <c r="Q31" s="38">
        <v>0</v>
      </c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</row>
    <row r="32" spans="1:32" x14ac:dyDescent="0.25">
      <c r="A32" s="14">
        <v>36951</v>
      </c>
      <c r="B32" s="13">
        <f>54733405726.9267/(10^9)</f>
        <v>54.733405726926698</v>
      </c>
      <c r="C32" s="13">
        <f>13642598927.0036/(10^9)</f>
        <v>13.642598927003599</v>
      </c>
      <c r="D32" s="13">
        <f>26270738162.2973/(10^9)</f>
        <v>26.270738162297299</v>
      </c>
      <c r="E32" s="13">
        <f>26270738162.2973/(10^9)</f>
        <v>26.270738162297299</v>
      </c>
      <c r="F32" s="13">
        <f t="shared" si="0"/>
        <v>0</v>
      </c>
      <c r="G32" s="13">
        <f>94646742816.2277/(10^9)</f>
        <v>94.6467428162277</v>
      </c>
      <c r="H32" s="34">
        <f t="shared" si="1"/>
        <v>-8.9129741619270124</v>
      </c>
      <c r="I32" s="13">
        <f>94646742816.2277/(10^9)</f>
        <v>94.6467428162277</v>
      </c>
      <c r="J32" s="34">
        <f t="shared" si="2"/>
        <v>-5.2217853946458721</v>
      </c>
      <c r="K32" s="34">
        <f t="shared" si="2"/>
        <v>-6.3913126703545764</v>
      </c>
      <c r="L32" s="34">
        <f t="shared" si="2"/>
        <v>-16.825363213208455</v>
      </c>
      <c r="M32" s="34">
        <f t="shared" si="2"/>
        <v>-16.825363213208455</v>
      </c>
      <c r="N32" s="34"/>
      <c r="O32" s="42">
        <f t="shared" si="3"/>
        <v>-8.9129741619270124</v>
      </c>
      <c r="P32" s="38">
        <v>0</v>
      </c>
      <c r="Q32" s="38">
        <v>0</v>
      </c>
      <c r="S32" s="38" t="s">
        <v>19</v>
      </c>
    </row>
    <row r="33" spans="1:19" x14ac:dyDescent="0.25">
      <c r="A33" s="14">
        <v>36982</v>
      </c>
      <c r="B33" s="13">
        <f>53739313673.6511/(10^9)</f>
        <v>53.739313673651097</v>
      </c>
      <c r="C33" s="13">
        <f>13447675201.2916/(10^9)</f>
        <v>13.447675201291599</v>
      </c>
      <c r="D33" s="13">
        <f>25857638111.3824/(10^9)</f>
        <v>25.8576381113824</v>
      </c>
      <c r="E33" s="13">
        <f>25857638111.3824/(10^9)</f>
        <v>25.8576381113824</v>
      </c>
      <c r="F33" s="13">
        <f t="shared" si="0"/>
        <v>0</v>
      </c>
      <c r="G33" s="13">
        <f>93044626986.3251/(10^9)</f>
        <v>93.044626986325099</v>
      </c>
      <c r="H33" s="34">
        <f t="shared" si="1"/>
        <v>-9.7743223188637369</v>
      </c>
      <c r="I33" s="13">
        <f>93044626986.3251/(10^9)</f>
        <v>93.044626986325099</v>
      </c>
      <c r="J33" s="34">
        <f t="shared" si="2"/>
        <v>-6.0622045393119883</v>
      </c>
      <c r="K33" s="34">
        <f t="shared" si="2"/>
        <v>-6.961664617360297</v>
      </c>
      <c r="L33" s="34">
        <f t="shared" si="2"/>
        <v>-17.815945841872573</v>
      </c>
      <c r="M33" s="34">
        <f t="shared" si="2"/>
        <v>-17.815945841872573</v>
      </c>
      <c r="N33" s="34"/>
      <c r="O33" s="42">
        <f t="shared" si="3"/>
        <v>-9.7743223188637369</v>
      </c>
      <c r="P33" s="38">
        <v>0</v>
      </c>
      <c r="Q33" s="38">
        <v>0</v>
      </c>
      <c r="S33" s="38" t="s">
        <v>20</v>
      </c>
    </row>
    <row r="34" spans="1:19" x14ac:dyDescent="0.25">
      <c r="A34" s="14">
        <v>37012</v>
      </c>
      <c r="B34" s="13">
        <f>53660166348.9207/(10^9)</f>
        <v>53.660166348920697</v>
      </c>
      <c r="C34" s="13">
        <f>13572235291.3302/(10^9)</f>
        <v>13.5722352913302</v>
      </c>
      <c r="D34" s="13">
        <f>26006926046.1916/(10^9)</f>
        <v>26.006926046191602</v>
      </c>
      <c r="E34" s="13">
        <f>26006926046.1916/(10^9)</f>
        <v>26.006926046191602</v>
      </c>
      <c r="F34" s="13">
        <f t="shared" si="0"/>
        <v>0</v>
      </c>
      <c r="G34" s="13">
        <f>93239327686.4425/(10^9)</f>
        <v>93.239327686442508</v>
      </c>
      <c r="H34" s="34">
        <f t="shared" si="1"/>
        <v>-9.4662309378682696</v>
      </c>
      <c r="I34" s="13">
        <f>93239327686.4425/(10^9)</f>
        <v>93.239327686442508</v>
      </c>
      <c r="J34" s="34">
        <f t="shared" si="2"/>
        <v>-6.2376082223217661</v>
      </c>
      <c r="K34" s="34">
        <f t="shared" si="2"/>
        <v>-6.0762809465027656</v>
      </c>
      <c r="L34" s="34">
        <f t="shared" si="2"/>
        <v>-16.932625551192928</v>
      </c>
      <c r="M34" s="34">
        <f t="shared" si="2"/>
        <v>-16.932625551192928</v>
      </c>
      <c r="N34" s="34"/>
      <c r="O34" s="42">
        <f t="shared" si="3"/>
        <v>-9.4662309378682696</v>
      </c>
      <c r="P34" s="38">
        <v>0</v>
      </c>
      <c r="Q34" s="38">
        <v>0</v>
      </c>
      <c r="S34" s="38" t="s">
        <v>21</v>
      </c>
    </row>
    <row r="35" spans="1:19" x14ac:dyDescent="0.25">
      <c r="A35" s="14">
        <v>37043</v>
      </c>
      <c r="B35" s="13">
        <f>54319800072.8007/(10^9)</f>
        <v>54.319800072800696</v>
      </c>
      <c r="C35" s="13">
        <f>13564908915.4479/(10^9)</f>
        <v>13.564908915447901</v>
      </c>
      <c r="D35" s="13">
        <f>25921433208.2203/(10^9)</f>
        <v>25.9214332082203</v>
      </c>
      <c r="E35" s="13">
        <f>25921433208.2203/(10^9)</f>
        <v>25.9214332082203</v>
      </c>
      <c r="F35" s="13">
        <f t="shared" si="0"/>
        <v>0</v>
      </c>
      <c r="G35" s="13">
        <f>93806142196.4689/(10^9)</f>
        <v>93.806142196468898</v>
      </c>
      <c r="H35" s="34">
        <f t="shared" si="1"/>
        <v>-8.5896454971160274</v>
      </c>
      <c r="I35" s="13">
        <f>93806142196.4689/(10^9)</f>
        <v>93.806142196468898</v>
      </c>
      <c r="J35" s="34">
        <f t="shared" si="2"/>
        <v>-4.7209185101186328</v>
      </c>
      <c r="K35" s="34">
        <f t="shared" si="2"/>
        <v>-6.8817782544275179</v>
      </c>
      <c r="L35" s="34">
        <f t="shared" si="2"/>
        <v>-16.496293339355027</v>
      </c>
      <c r="M35" s="34">
        <f t="shared" si="2"/>
        <v>-16.496293339355027</v>
      </c>
      <c r="N35" s="34"/>
      <c r="O35" s="42">
        <f t="shared" si="3"/>
        <v>-8.5896454971160274</v>
      </c>
      <c r="P35" s="38">
        <v>0</v>
      </c>
      <c r="Q35" s="38">
        <v>0</v>
      </c>
    </row>
    <row r="36" spans="1:19" x14ac:dyDescent="0.25">
      <c r="A36" s="14">
        <v>37073</v>
      </c>
      <c r="B36" s="13">
        <f>53860045181.4437/(10^9)</f>
        <v>53.860045181443702</v>
      </c>
      <c r="C36" s="13">
        <f>13709914849.4324/(10^9)</f>
        <v>13.709914849432399</v>
      </c>
      <c r="D36" s="13">
        <f>25815080287.823/(10^9)</f>
        <v>25.815080287823001</v>
      </c>
      <c r="E36" s="13">
        <f>25815080287.823/(10^9)</f>
        <v>25.815080287823001</v>
      </c>
      <c r="F36" s="13">
        <f t="shared" si="0"/>
        <v>0</v>
      </c>
      <c r="G36" s="13">
        <f>93385040318.6991/(10^9)</f>
        <v>93.385040318699097</v>
      </c>
      <c r="H36" s="34">
        <f t="shared" si="1"/>
        <v>-8.3441465084923454</v>
      </c>
      <c r="I36" s="13">
        <f>93385040318.6991/(10^9)</f>
        <v>93.385040318699097</v>
      </c>
      <c r="J36" s="34">
        <f t="shared" si="2"/>
        <v>-4.6813972580378005</v>
      </c>
      <c r="K36" s="34">
        <f t="shared" si="2"/>
        <v>-6.5133609638452601</v>
      </c>
      <c r="L36" s="34">
        <f t="shared" si="2"/>
        <v>-15.956194549548719</v>
      </c>
      <c r="M36" s="34">
        <f t="shared" si="2"/>
        <v>-15.956194549548719</v>
      </c>
      <c r="N36" s="34"/>
      <c r="O36" s="42">
        <f t="shared" si="3"/>
        <v>-8.3441465084923454</v>
      </c>
      <c r="P36" s="38">
        <v>0</v>
      </c>
      <c r="Q36" s="38">
        <v>0</v>
      </c>
    </row>
    <row r="37" spans="1:19" x14ac:dyDescent="0.25">
      <c r="A37" s="14">
        <v>37104</v>
      </c>
      <c r="B37" s="13">
        <f>53834805358.5338/(10^9)</f>
        <v>53.834805358533799</v>
      </c>
      <c r="C37" s="13">
        <f>13749813287.4678/(10^9)</f>
        <v>13.7498132874678</v>
      </c>
      <c r="D37" s="13">
        <f>25567647782.7718/(10^9)</f>
        <v>25.5676477827718</v>
      </c>
      <c r="E37" s="13">
        <f>25567647782.7718/(10^9)</f>
        <v>25.5676477827718</v>
      </c>
      <c r="F37" s="13">
        <f t="shared" si="0"/>
        <v>0</v>
      </c>
      <c r="G37" s="13">
        <f>93152266428.7734/(10^9)</f>
        <v>93.152266428773402</v>
      </c>
      <c r="H37" s="34">
        <f t="shared" si="1"/>
        <v>-7.1411594411749491</v>
      </c>
      <c r="I37" s="13">
        <f>93152266428.7734/(10^9)</f>
        <v>93.152266428773402</v>
      </c>
      <c r="J37" s="34">
        <f t="shared" si="2"/>
        <v>-5.5742846877301027</v>
      </c>
      <c r="K37" s="34">
        <f t="shared" si="2"/>
        <v>-6.7717072366423769</v>
      </c>
      <c r="L37" s="34">
        <f t="shared" si="2"/>
        <v>-10.460447699607334</v>
      </c>
      <c r="M37" s="34">
        <f t="shared" si="2"/>
        <v>-10.460447699607334</v>
      </c>
      <c r="N37" s="34"/>
      <c r="O37" s="42">
        <f t="shared" si="3"/>
        <v>-7.1411594411749491</v>
      </c>
      <c r="P37" s="38">
        <v>0</v>
      </c>
      <c r="Q37" s="38">
        <v>0</v>
      </c>
    </row>
    <row r="38" spans="1:19" x14ac:dyDescent="0.25">
      <c r="A38" s="14">
        <v>37135</v>
      </c>
      <c r="B38" s="13">
        <f>53823662278.9915/(10^9)</f>
        <v>53.823662278991499</v>
      </c>
      <c r="C38" s="13">
        <f>13876747000.1969/(10^9)</f>
        <v>13.8767470001969</v>
      </c>
      <c r="D38" s="13">
        <f>25352601150.7975/(10^9)</f>
        <v>25.352601150797501</v>
      </c>
      <c r="E38" s="13">
        <f>25352601150.7975/(10^9)</f>
        <v>25.352601150797501</v>
      </c>
      <c r="F38" s="13">
        <f t="shared" si="0"/>
        <v>0</v>
      </c>
      <c r="G38" s="13">
        <f>93053010429.9859/(10^9)</f>
        <v>93.053010429985903</v>
      </c>
      <c r="H38" s="34">
        <f t="shared" si="1"/>
        <v>-7.2636713751562549</v>
      </c>
      <c r="I38" s="13">
        <f>93053010429.9859/(10^9)</f>
        <v>93.053010429985903</v>
      </c>
      <c r="J38" s="34">
        <f t="shared" si="2"/>
        <v>-5.7939701046244574</v>
      </c>
      <c r="K38" s="34">
        <f t="shared" si="2"/>
        <v>-4.9204904050470404</v>
      </c>
      <c r="L38" s="34">
        <f t="shared" si="2"/>
        <v>-11.393611074848186</v>
      </c>
      <c r="M38" s="34">
        <f t="shared" si="2"/>
        <v>-11.393611074848186</v>
      </c>
      <c r="N38" s="34"/>
      <c r="O38" s="42">
        <f t="shared" si="3"/>
        <v>-7.2636713751562549</v>
      </c>
      <c r="P38" s="38">
        <v>0</v>
      </c>
      <c r="Q38" s="38">
        <v>0</v>
      </c>
    </row>
    <row r="39" spans="1:19" x14ac:dyDescent="0.25">
      <c r="A39" s="14">
        <v>37165</v>
      </c>
      <c r="B39" s="13">
        <f>53822859193.0275/(10^9)</f>
        <v>53.822859193027497</v>
      </c>
      <c r="C39" s="13">
        <f>14110436689.5101/(10^9)</f>
        <v>14.110436689510099</v>
      </c>
      <c r="D39" s="13">
        <f>25104125632.949/(10^9)</f>
        <v>25.104125632949</v>
      </c>
      <c r="E39" s="13">
        <f>25104125632.949/(10^9)</f>
        <v>25.104125632949</v>
      </c>
      <c r="F39" s="13">
        <f t="shared" si="0"/>
        <v>0</v>
      </c>
      <c r="G39" s="13">
        <f>93037421515.4866/(10^9)</f>
        <v>93.037421515486599</v>
      </c>
      <c r="H39" s="34">
        <f t="shared" si="1"/>
        <v>-5.2803073499354536</v>
      </c>
      <c r="I39" s="13">
        <f>93037421515.4866/(10^9)</f>
        <v>93.037421515486599</v>
      </c>
      <c r="J39" s="34">
        <f t="shared" si="2"/>
        <v>-4.1516014596082451</v>
      </c>
      <c r="K39" s="34">
        <f t="shared" si="2"/>
        <v>-1.2811364721197149</v>
      </c>
      <c r="L39" s="34">
        <f t="shared" si="2"/>
        <v>-9.6201288213165306</v>
      </c>
      <c r="M39" s="34">
        <f t="shared" si="2"/>
        <v>-9.6201288213165306</v>
      </c>
      <c r="N39" s="34"/>
      <c r="O39" s="42">
        <f t="shared" si="3"/>
        <v>-5.2803073499354536</v>
      </c>
      <c r="P39" s="38">
        <v>0</v>
      </c>
      <c r="Q39" s="38">
        <v>0</v>
      </c>
    </row>
    <row r="40" spans="1:19" x14ac:dyDescent="0.25">
      <c r="A40" s="14">
        <v>37196</v>
      </c>
      <c r="B40" s="13">
        <f>53971708235.8981/(10^9)</f>
        <v>53.971708235898099</v>
      </c>
      <c r="C40" s="13">
        <f>14629727395.4298/(10^9)</f>
        <v>14.6297273954298</v>
      </c>
      <c r="D40" s="13">
        <f>24934925688.8318/(10^9)</f>
        <v>24.9349256888318</v>
      </c>
      <c r="E40" s="13">
        <f>24934925688.8318/(10^9)</f>
        <v>24.9349256888318</v>
      </c>
      <c r="F40" s="13">
        <f t="shared" si="0"/>
        <v>0</v>
      </c>
      <c r="G40" s="13">
        <f>93536361320.1597/(10^9)</f>
        <v>93.536361320159699</v>
      </c>
      <c r="H40" s="34">
        <f t="shared" si="1"/>
        <v>-4.5423553532725975</v>
      </c>
      <c r="I40" s="13">
        <f>93536361320.1597/(10^9)</f>
        <v>93.536361320159699</v>
      </c>
      <c r="J40" s="34">
        <f t="shared" si="2"/>
        <v>-3.8939407711486518</v>
      </c>
      <c r="K40" s="34">
        <f t="shared" si="2"/>
        <v>2.4833747433863795</v>
      </c>
      <c r="L40" s="34">
        <f t="shared" si="2"/>
        <v>-9.5038811225694459</v>
      </c>
      <c r="M40" s="34">
        <f t="shared" si="2"/>
        <v>-9.5038811225694459</v>
      </c>
      <c r="N40" s="34"/>
      <c r="O40" s="42">
        <f t="shared" si="3"/>
        <v>-4.5423553532725975</v>
      </c>
      <c r="P40" s="38">
        <v>0</v>
      </c>
      <c r="Q40" s="38">
        <v>0</v>
      </c>
    </row>
    <row r="41" spans="1:19" x14ac:dyDescent="0.25">
      <c r="A41" s="14">
        <v>37226</v>
      </c>
      <c r="B41" s="13">
        <f>53509752926.7204/(10^9)</f>
        <v>53.509752926720395</v>
      </c>
      <c r="C41" s="13">
        <f>14697555778.0736/(10^9)</f>
        <v>14.697555778073601</v>
      </c>
      <c r="D41" s="13">
        <f>24714704106.6391/(10^9)</f>
        <v>24.7147041066391</v>
      </c>
      <c r="E41" s="13">
        <f>24714704106.6391/(10^9)</f>
        <v>24.7147041066391</v>
      </c>
      <c r="F41" s="13">
        <f t="shared" si="0"/>
        <v>0</v>
      </c>
      <c r="G41" s="13">
        <f>92922012811.4331/(10^9)</f>
        <v>92.922012811433106</v>
      </c>
      <c r="H41" s="34">
        <f t="shared" si="1"/>
        <v>-5.3255638328123078</v>
      </c>
      <c r="I41" s="13">
        <f>92922012811.4331/(10^9)</f>
        <v>92.922012811433106</v>
      </c>
      <c r="J41" s="34">
        <f t="shared" si="2"/>
        <v>-5.9027181949756535</v>
      </c>
      <c r="K41" s="34">
        <f t="shared" si="2"/>
        <v>4.5767566025469053</v>
      </c>
      <c r="L41" s="34">
        <f t="shared" si="2"/>
        <v>-9.2314218089697757</v>
      </c>
      <c r="M41" s="34">
        <f t="shared" si="2"/>
        <v>-9.2314218089697757</v>
      </c>
      <c r="N41" s="34"/>
      <c r="O41" s="42">
        <f t="shared" si="3"/>
        <v>-5.3255638328123078</v>
      </c>
      <c r="P41" s="38">
        <v>0</v>
      </c>
      <c r="Q41" s="38">
        <v>0</v>
      </c>
    </row>
    <row r="42" spans="1:19" x14ac:dyDescent="0.25">
      <c r="A42" s="14">
        <v>37257</v>
      </c>
      <c r="B42" s="13">
        <f>53881691822.3763/(10^9)</f>
        <v>53.881691822376297</v>
      </c>
      <c r="C42" s="13">
        <f>13130680616.6039/(10^9)</f>
        <v>13.1306806166039</v>
      </c>
      <c r="D42" s="13">
        <f>24117185662.8576/(10^9)</f>
        <v>24.117185662857601</v>
      </c>
      <c r="E42" s="13">
        <f>24117185662.8576/(10^9)</f>
        <v>24.117185662857601</v>
      </c>
      <c r="F42" s="13">
        <f>205264438.641973/(10^9)</f>
        <v>0.205264438641973</v>
      </c>
      <c r="G42" s="13">
        <f>91334822540.4798/(10^9)</f>
        <v>91.334822540479792</v>
      </c>
      <c r="H42" s="34">
        <f t="shared" si="1"/>
        <v>-5.5635673404778263</v>
      </c>
      <c r="I42" s="13">
        <f>91334822540.4798/(10^9)</f>
        <v>91.334822540479792</v>
      </c>
      <c r="J42" s="34">
        <f t="shared" si="2"/>
        <v>-3.4130002480412092</v>
      </c>
      <c r="K42" s="34">
        <f t="shared" si="2"/>
        <v>-6.3321346812759245</v>
      </c>
      <c r="L42" s="34">
        <f t="shared" si="2"/>
        <v>-10.38390065221636</v>
      </c>
      <c r="M42" s="34">
        <f t="shared" si="2"/>
        <v>-10.38390065221636</v>
      </c>
      <c r="N42" s="34"/>
      <c r="O42" s="42">
        <f t="shared" si="3"/>
        <v>-5.5635673404778263</v>
      </c>
      <c r="P42" s="38">
        <v>0</v>
      </c>
      <c r="Q42" s="38">
        <v>0</v>
      </c>
    </row>
    <row r="43" spans="1:19" x14ac:dyDescent="0.25">
      <c r="A43" s="14">
        <v>37288</v>
      </c>
      <c r="B43" s="13">
        <f>53722056886.3833/(10^9)</f>
        <v>53.722056886383299</v>
      </c>
      <c r="C43" s="13">
        <f>13112632912.4487/(10^9)</f>
        <v>13.112632912448699</v>
      </c>
      <c r="D43" s="13">
        <f>23776881305.0222/(10^9)</f>
        <v>23.776881305022201</v>
      </c>
      <c r="E43" s="13">
        <f>23776881305.0222/(10^9)</f>
        <v>23.776881305022201</v>
      </c>
      <c r="F43" s="13">
        <f>202399949.805093/(10^9)</f>
        <v>0.20239994980509299</v>
      </c>
      <c r="G43" s="13">
        <f>90813971053.6593/(10^9)</f>
        <v>90.813971053659301</v>
      </c>
      <c r="H43" s="34">
        <f t="shared" si="1"/>
        <v>-5.0090559199201135</v>
      </c>
      <c r="I43" s="13">
        <f>90813971053.6593/(10^9)</f>
        <v>90.813971053659301</v>
      </c>
      <c r="J43" s="34">
        <f t="shared" si="2"/>
        <v>-2.6461139814544787</v>
      </c>
      <c r="K43" s="34">
        <f t="shared" si="2"/>
        <v>-6.099168732430293</v>
      </c>
      <c r="L43" s="34">
        <f t="shared" si="2"/>
        <v>-10.127319506458488</v>
      </c>
      <c r="M43" s="34">
        <f t="shared" si="2"/>
        <v>-10.127319506458488</v>
      </c>
      <c r="N43" s="34"/>
      <c r="O43" s="42">
        <f t="shared" si="3"/>
        <v>-5.0090559199201135</v>
      </c>
      <c r="P43" s="38">
        <v>0</v>
      </c>
      <c r="Q43" s="38">
        <v>0</v>
      </c>
    </row>
    <row r="44" spans="1:19" x14ac:dyDescent="0.25">
      <c r="A44" s="14">
        <v>37316</v>
      </c>
      <c r="B44" s="13">
        <f>53551187767.0954/(10^9)</f>
        <v>53.551187767095399</v>
      </c>
      <c r="C44" s="13">
        <f>12742403633.5011/(10^9)</f>
        <v>12.7424036335011</v>
      </c>
      <c r="D44" s="13">
        <f>23602006123.2561/(10^9)</f>
        <v>23.6020061232561</v>
      </c>
      <c r="E44" s="13">
        <f>23602006123.2561/(10^9)</f>
        <v>23.6020061232561</v>
      </c>
      <c r="F44" s="13">
        <f>255131666.089034/(10^9)</f>
        <v>0.25513166608903398</v>
      </c>
      <c r="G44" s="13">
        <f>90150729189.9417/(10^9)</f>
        <v>90.1507291899417</v>
      </c>
      <c r="H44" s="34">
        <f t="shared" si="1"/>
        <v>-4.7503099340837851</v>
      </c>
      <c r="I44" s="13">
        <f>90150729189.9417/(10^9)</f>
        <v>90.1507291899417</v>
      </c>
      <c r="J44" s="34">
        <f t="shared" si="2"/>
        <v>-2.15995687483721</v>
      </c>
      <c r="K44" s="34">
        <f t="shared" si="2"/>
        <v>-6.598414996432167</v>
      </c>
      <c r="L44" s="34">
        <f t="shared" si="2"/>
        <v>-10.158572715216874</v>
      </c>
      <c r="M44" s="34">
        <f t="shared" si="2"/>
        <v>-10.158572715216874</v>
      </c>
      <c r="N44" s="34"/>
      <c r="O44" s="42">
        <f t="shared" si="3"/>
        <v>-4.7503099340837851</v>
      </c>
      <c r="P44" s="38">
        <v>0</v>
      </c>
      <c r="Q44" s="38">
        <v>0</v>
      </c>
    </row>
    <row r="45" spans="1:19" x14ac:dyDescent="0.25">
      <c r="A45" s="14">
        <v>37347</v>
      </c>
      <c r="B45" s="13">
        <f>53070540855.0673/(10^9)</f>
        <v>53.0705408550673</v>
      </c>
      <c r="C45" s="13">
        <f>12851557563.9269/(10^9)</f>
        <v>12.851557563926901</v>
      </c>
      <c r="D45" s="13">
        <f>23383278856.0113/(10^9)</f>
        <v>23.383278856011298</v>
      </c>
      <c r="E45" s="13">
        <f>23383278856.0113/(10^9)</f>
        <v>23.383278856011298</v>
      </c>
      <c r="F45" s="13">
        <f>256440594.666517/(10^9)</f>
        <v>0.25644059466651697</v>
      </c>
      <c r="G45" s="13">
        <f>89561817869.672/(10^9)</f>
        <v>89.561817869671998</v>
      </c>
      <c r="H45" s="34">
        <f t="shared" si="1"/>
        <v>-3.7431598464734317</v>
      </c>
      <c r="I45" s="13">
        <f>89561817869.672/(10^9)</f>
        <v>89.561817869671998</v>
      </c>
      <c r="J45" s="34">
        <f t="shared" si="2"/>
        <v>-1.244475920636301</v>
      </c>
      <c r="K45" s="34">
        <f t="shared" si="2"/>
        <v>-4.4328676030741976</v>
      </c>
      <c r="L45" s="34">
        <f t="shared" si="2"/>
        <v>-9.5691619037776796</v>
      </c>
      <c r="M45" s="34">
        <f t="shared" si="2"/>
        <v>-9.5691619037776796</v>
      </c>
      <c r="N45" s="34"/>
      <c r="O45" s="42">
        <f t="shared" si="3"/>
        <v>-3.7431598464734317</v>
      </c>
      <c r="P45" s="38">
        <v>0</v>
      </c>
      <c r="Q45" s="38">
        <v>0</v>
      </c>
    </row>
    <row r="46" spans="1:19" x14ac:dyDescent="0.25">
      <c r="A46" s="14">
        <v>37377</v>
      </c>
      <c r="B46" s="13">
        <f>52752335977.6806/(10^9)</f>
        <v>52.752335977680602</v>
      </c>
      <c r="C46" s="13">
        <f>13249733896.0041/(10^9)</f>
        <v>13.2497338960041</v>
      </c>
      <c r="D46" s="13">
        <f>22778470533.4207/(10^9)</f>
        <v>22.778470533420702</v>
      </c>
      <c r="E46" s="13">
        <f>23672776240.3646/(10^9)</f>
        <v>23.672776240364602</v>
      </c>
      <c r="F46" s="13">
        <f>257202427.268274/(10^9)</f>
        <v>0.25720242726827403</v>
      </c>
      <c r="G46" s="13">
        <f>89037742834.3736/(10^9)</f>
        <v>89.037742834373603</v>
      </c>
      <c r="H46" s="34">
        <f t="shared" si="1"/>
        <v>-4.506236752584214</v>
      </c>
      <c r="I46" s="13">
        <f>89932048541.3176/(10^9)</f>
        <v>89.932048541317599</v>
      </c>
      <c r="J46" s="34">
        <f t="shared" si="2"/>
        <v>-1.6918143066068869</v>
      </c>
      <c r="K46" s="34">
        <f t="shared" si="2"/>
        <v>-2.3761848244121642</v>
      </c>
      <c r="L46" s="34">
        <f t="shared" si="2"/>
        <v>-12.413829712272618</v>
      </c>
      <c r="M46" s="34">
        <f t="shared" si="2"/>
        <v>-8.9751084064347069</v>
      </c>
      <c r="N46" s="34"/>
      <c r="O46" s="42">
        <f t="shared" si="3"/>
        <v>-3.5470860067192467</v>
      </c>
      <c r="P46" s="38">
        <v>0</v>
      </c>
      <c r="Q46" s="38">
        <v>0</v>
      </c>
    </row>
    <row r="47" spans="1:19" x14ac:dyDescent="0.25">
      <c r="A47" s="14">
        <v>37408</v>
      </c>
      <c r="B47" s="13">
        <f>53507672555.5182/(10^9)</f>
        <v>53.507672555518205</v>
      </c>
      <c r="C47" s="13">
        <f>13251709366.3309/(10^9)</f>
        <v>13.2517093663309</v>
      </c>
      <c r="D47" s="13">
        <f>22626179791.2552/(10^9)</f>
        <v>22.626179791255201</v>
      </c>
      <c r="E47" s="13">
        <f>23509859160.1182/(10^9)</f>
        <v>23.5098591601182</v>
      </c>
      <c r="F47" s="13">
        <f>253787061.019594/(10^9)</f>
        <v>0.25378706101959403</v>
      </c>
      <c r="G47" s="13">
        <f>89639348774.1239/(10^9)</f>
        <v>89.639348774123903</v>
      </c>
      <c r="H47" s="34">
        <f t="shared" si="1"/>
        <v>-4.4419196065200168</v>
      </c>
      <c r="I47" s="13">
        <f>90523028142.9868/(10^9)</f>
        <v>90.523028142986803</v>
      </c>
      <c r="J47" s="34">
        <f t="shared" si="2"/>
        <v>-1.4950856155472869</v>
      </c>
      <c r="K47" s="34">
        <f t="shared" si="2"/>
        <v>-2.3088953347878749</v>
      </c>
      <c r="L47" s="34">
        <f t="shared" si="2"/>
        <v>-12.712466129843847</v>
      </c>
      <c r="M47" s="34">
        <f t="shared" si="2"/>
        <v>-9.3033978049382409</v>
      </c>
      <c r="N47" s="34"/>
      <c r="O47" s="42">
        <f t="shared" si="3"/>
        <v>-3.4998924128079922</v>
      </c>
      <c r="P47" s="38">
        <v>0</v>
      </c>
      <c r="Q47" s="38">
        <v>0</v>
      </c>
    </row>
    <row r="48" spans="1:19" x14ac:dyDescent="0.25">
      <c r="A48" s="14">
        <v>37438</v>
      </c>
      <c r="B48" s="13">
        <f>54600741995.9727/(10^9)</f>
        <v>54.600741995972705</v>
      </c>
      <c r="C48" s="13">
        <f>13588287710.5408/(10^9)</f>
        <v>13.588287710540801</v>
      </c>
      <c r="D48" s="13">
        <f>22446611010.3145/(10^9)</f>
        <v>22.446611010314498</v>
      </c>
      <c r="E48" s="13">
        <f>23315209588.1306/(10^9)</f>
        <v>23.3152095881306</v>
      </c>
      <c r="F48" s="13">
        <f>254975579.097314/(10^9)</f>
        <v>0.254975579097314</v>
      </c>
      <c r="G48" s="13">
        <f>90890616295.9254/(10^9)</f>
        <v>90.890616295925398</v>
      </c>
      <c r="H48" s="34">
        <f t="shared" si="1"/>
        <v>-2.6711173591197013</v>
      </c>
      <c r="I48" s="13">
        <f>91759214873.7415/(10^9)</f>
        <v>91.759214873741499</v>
      </c>
      <c r="J48" s="34">
        <f t="shared" si="2"/>
        <v>1.3752250151921386</v>
      </c>
      <c r="K48" s="34">
        <f t="shared" si="2"/>
        <v>-0.88714729615285703</v>
      </c>
      <c r="L48" s="34">
        <f t="shared" si="2"/>
        <v>-13.048455553699799</v>
      </c>
      <c r="M48" s="34">
        <f t="shared" si="2"/>
        <v>-9.6837610877840046</v>
      </c>
      <c r="N48" s="34"/>
      <c r="O48" s="42">
        <f t="shared" si="3"/>
        <v>-1.7409913187477088</v>
      </c>
      <c r="P48" s="38">
        <v>0</v>
      </c>
      <c r="Q48" s="38">
        <v>0</v>
      </c>
    </row>
    <row r="49" spans="1:17" x14ac:dyDescent="0.25">
      <c r="A49" s="14">
        <v>37469</v>
      </c>
      <c r="B49" s="13">
        <f>54332637976.6416/(10^9)</f>
        <v>54.3326379766416</v>
      </c>
      <c r="C49" s="13">
        <f>13914976578.5652/(10^9)</f>
        <v>13.9149765785652</v>
      </c>
      <c r="D49" s="13">
        <f>22254777824.1122/(10^9)</f>
        <v>22.254777824112203</v>
      </c>
      <c r="E49" s="13">
        <f>23108298802.8812/(10^9)</f>
        <v>23.108298802881198</v>
      </c>
      <c r="F49" s="13">
        <f>597594520.220034/(10^9)</f>
        <v>0.59759452022003401</v>
      </c>
      <c r="G49" s="13">
        <f>91099986899.539/(10^9)</f>
        <v>91.099986899539005</v>
      </c>
      <c r="H49" s="34">
        <f t="shared" si="1"/>
        <v>-2.2031450311556511</v>
      </c>
      <c r="I49" s="13">
        <f>91953507878.308/(10^9)</f>
        <v>91.953507878308002</v>
      </c>
      <c r="J49" s="34">
        <f t="shared" si="2"/>
        <v>0.92474118703000929</v>
      </c>
      <c r="K49" s="34">
        <f t="shared" si="2"/>
        <v>1.2012038828769889</v>
      </c>
      <c r="L49" s="34">
        <f t="shared" si="2"/>
        <v>-12.957273139893232</v>
      </c>
      <c r="M49" s="34">
        <f t="shared" si="2"/>
        <v>-9.6189880304428321</v>
      </c>
      <c r="N49" s="34"/>
      <c r="O49" s="42">
        <f t="shared" si="3"/>
        <v>-1.286880713076366</v>
      </c>
      <c r="P49" s="38">
        <v>0</v>
      </c>
      <c r="Q49" s="38">
        <v>0</v>
      </c>
    </row>
    <row r="50" spans="1:17" x14ac:dyDescent="0.25">
      <c r="A50" s="14">
        <v>37500</v>
      </c>
      <c r="B50" s="13">
        <f>55427642911.0523/(10^9)</f>
        <v>55.427642911052303</v>
      </c>
      <c r="C50" s="13">
        <f>14130956887.3567/(10^9)</f>
        <v>14.130956887356701</v>
      </c>
      <c r="D50" s="13">
        <f>22069856955.1104/(10^9)</f>
        <v>22.069856955110403</v>
      </c>
      <c r="E50" s="13">
        <f>22904997217.864/(10^9)</f>
        <v>22.904997217863997</v>
      </c>
      <c r="F50" s="13">
        <f>614028309.000628/(10^9)</f>
        <v>0.61402830900062799</v>
      </c>
      <c r="G50" s="13">
        <f>92242485062.52/(10^9)</f>
        <v>92.242485062520004</v>
      </c>
      <c r="H50" s="34">
        <f t="shared" si="1"/>
        <v>-0.87103615855153027</v>
      </c>
      <c r="I50" s="13">
        <f>93077625325.2736/(10^9)</f>
        <v>93.077625325273601</v>
      </c>
      <c r="J50" s="34">
        <f t="shared" si="2"/>
        <v>2.9800659489625181</v>
      </c>
      <c r="K50" s="34">
        <f t="shared" si="2"/>
        <v>1.8319126748955972</v>
      </c>
      <c r="L50" s="34">
        <f t="shared" si="2"/>
        <v>-12.948352621339742</v>
      </c>
      <c r="M50" s="34">
        <f t="shared" si="2"/>
        <v>-9.6542517210566832</v>
      </c>
      <c r="N50" s="34"/>
      <c r="O50" s="42">
        <f t="shared" si="3"/>
        <v>2.6452551265077062E-2</v>
      </c>
      <c r="P50" s="38">
        <v>0</v>
      </c>
      <c r="Q50" s="38">
        <v>0</v>
      </c>
    </row>
    <row r="51" spans="1:17" x14ac:dyDescent="0.25">
      <c r="A51" s="14">
        <v>37530</v>
      </c>
      <c r="B51" s="13">
        <f>55468468139.7189/(10^9)</f>
        <v>55.468468139718901</v>
      </c>
      <c r="C51" s="13">
        <f>14369870012.6281/(10^9)</f>
        <v>14.3698700126281</v>
      </c>
      <c r="D51" s="13">
        <f>21853600187.6609/(10^9)</f>
        <v>21.853600187660899</v>
      </c>
      <c r="E51" s="13">
        <f>22672213368.7198/(10^9)</f>
        <v>22.672213368719799</v>
      </c>
      <c r="F51" s="13">
        <f>646968735.553557/(10^9)</f>
        <v>0.64696873555355705</v>
      </c>
      <c r="G51" s="13">
        <f>92338907075.5614/(10^9)</f>
        <v>92.338907075561394</v>
      </c>
      <c r="H51" s="34">
        <f t="shared" si="1"/>
        <v>-0.75078869184797004</v>
      </c>
      <c r="I51" s="13">
        <f>93157520256.6203/(10^9)</f>
        <v>93.157520256620302</v>
      </c>
      <c r="J51" s="34">
        <f t="shared" si="2"/>
        <v>3.057453601247162</v>
      </c>
      <c r="K51" s="34">
        <f t="shared" si="2"/>
        <v>1.8385917376382066</v>
      </c>
      <c r="L51" s="34">
        <f t="shared" si="2"/>
        <v>-12.948172315636475</v>
      </c>
      <c r="M51" s="34">
        <f t="shared" si="2"/>
        <v>-9.6873012021471574</v>
      </c>
      <c r="N51" s="34"/>
      <c r="O51" s="42">
        <f t="shared" si="3"/>
        <v>0.12908648926144295</v>
      </c>
      <c r="P51" s="38">
        <v>0</v>
      </c>
      <c r="Q51" s="38">
        <v>0</v>
      </c>
    </row>
    <row r="52" spans="1:17" x14ac:dyDescent="0.25">
      <c r="A52" s="14">
        <v>37561</v>
      </c>
      <c r="B52" s="13">
        <f>56372839307.3012/(10^9)</f>
        <v>56.372839307301199</v>
      </c>
      <c r="C52" s="13">
        <f>14601266770.9074/(10^9)</f>
        <v>14.601266770907401</v>
      </c>
      <c r="D52" s="13">
        <f>20630356561.1357/(10^9)</f>
        <v>20.630356561135699</v>
      </c>
      <c r="E52" s="13">
        <f>22472316902.2917/(10^9)</f>
        <v>22.472316902291698</v>
      </c>
      <c r="F52" s="13">
        <f>657428037.162997/(10^9)</f>
        <v>0.65742803716299703</v>
      </c>
      <c r="G52" s="13">
        <f>92261890676.5073/(10^9)</f>
        <v>92.261890676507292</v>
      </c>
      <c r="H52" s="34">
        <f t="shared" si="1"/>
        <v>-1.3625403272745418</v>
      </c>
      <c r="I52" s="13">
        <f>94103851017.6632/(10^9)</f>
        <v>94.103851017663189</v>
      </c>
      <c r="J52" s="34">
        <f t="shared" si="2"/>
        <v>4.44886987995321</v>
      </c>
      <c r="K52" s="34">
        <f t="shared" si="2"/>
        <v>-0.19453967769276215</v>
      </c>
      <c r="L52" s="34">
        <f t="shared" si="2"/>
        <v>-17.26321217642165</v>
      </c>
      <c r="M52" s="34">
        <f t="shared" si="2"/>
        <v>-9.8761424728973211</v>
      </c>
      <c r="N52" s="34"/>
      <c r="O52" s="42">
        <f t="shared" si="3"/>
        <v>0.60670491078977928</v>
      </c>
      <c r="P52" s="38">
        <v>0</v>
      </c>
      <c r="Q52" s="38">
        <v>0</v>
      </c>
    </row>
    <row r="53" spans="1:17" x14ac:dyDescent="0.25">
      <c r="A53" s="14">
        <v>37591</v>
      </c>
      <c r="B53" s="13">
        <f>56919252494.1593/(10^9)</f>
        <v>56.919252494159302</v>
      </c>
      <c r="C53" s="13">
        <f>14778846257.9804/(10^9)</f>
        <v>14.778846257980399</v>
      </c>
      <c r="D53" s="13">
        <f>20755574976.4198/(10^9)</f>
        <v>20.755574976419801</v>
      </c>
      <c r="E53" s="13">
        <f>22567101860.5145/(10^9)</f>
        <v>22.567101860514498</v>
      </c>
      <c r="F53" s="13">
        <f>720562757.999493/(10^9)</f>
        <v>0.72056275799949299</v>
      </c>
      <c r="G53" s="13">
        <f>93174236486.5591/(10^9)</f>
        <v>93.174236486559096</v>
      </c>
      <c r="H53" s="34">
        <f t="shared" si="1"/>
        <v>0.27143587132343328</v>
      </c>
      <c r="I53" s="13">
        <f>94985763370.6538/(10^9)</f>
        <v>94.9857633706538</v>
      </c>
      <c r="J53" s="34">
        <f t="shared" si="2"/>
        <v>6.3717348351581604</v>
      </c>
      <c r="K53" s="34">
        <f t="shared" si="2"/>
        <v>0.55308842595493957</v>
      </c>
      <c r="L53" s="34">
        <f t="shared" si="2"/>
        <v>-16.019326442818947</v>
      </c>
      <c r="M53" s="34">
        <f t="shared" si="2"/>
        <v>-8.6895729637632702</v>
      </c>
      <c r="N53" s="34"/>
      <c r="O53" s="42">
        <f t="shared" si="3"/>
        <v>2.2209490483257932</v>
      </c>
      <c r="P53" s="38">
        <v>0</v>
      </c>
      <c r="Q53" s="38">
        <v>0</v>
      </c>
    </row>
    <row r="54" spans="1:17" x14ac:dyDescent="0.25">
      <c r="A54" s="14">
        <v>37622</v>
      </c>
      <c r="B54" s="13">
        <f>56317669215.7238/(10^9)</f>
        <v>56.317669215723804</v>
      </c>
      <c r="C54" s="13">
        <f>14902670058.9638/(10^9)</f>
        <v>14.9026700589638</v>
      </c>
      <c r="D54" s="13">
        <f>20471912571.9958/(10^9)</f>
        <v>20.471912571995801</v>
      </c>
      <c r="E54" s="13">
        <f>22237103724.2613/(10^9)</f>
        <v>22.237103724261299</v>
      </c>
      <c r="F54" s="13">
        <f>742132969.526623/(10^9)</f>
        <v>0.742132969526623</v>
      </c>
      <c r="G54" s="13">
        <f>92434384816.2099/(10^9)</f>
        <v>92.434384816209899</v>
      </c>
      <c r="H54" s="34">
        <f t="shared" si="1"/>
        <v>1.2038806723938977</v>
      </c>
      <c r="I54" s="13">
        <f>94199575968.4754/(10^9)</f>
        <v>94.199575968475401</v>
      </c>
      <c r="J54" s="34">
        <f t="shared" si="2"/>
        <v>4.5209742139831643</v>
      </c>
      <c r="K54" s="34">
        <f t="shared" si="2"/>
        <v>13.495031172407002</v>
      </c>
      <c r="L54" s="34">
        <f t="shared" si="2"/>
        <v>-15.114836124829489</v>
      </c>
      <c r="M54" s="34">
        <f t="shared" si="2"/>
        <v>-7.7956108348569808</v>
      </c>
      <c r="N54" s="34">
        <f t="shared" si="2"/>
        <v>261.54970360992172</v>
      </c>
      <c r="O54" s="42">
        <f t="shared" si="3"/>
        <v>3.1365402026438893</v>
      </c>
      <c r="P54" s="38">
        <v>0</v>
      </c>
      <c r="Q54" s="38">
        <v>0</v>
      </c>
    </row>
    <row r="55" spans="1:17" x14ac:dyDescent="0.25">
      <c r="A55" s="14">
        <v>37653</v>
      </c>
      <c r="B55" s="13">
        <f>56175396076.4665/(10^9)</f>
        <v>56.175396076466498</v>
      </c>
      <c r="C55" s="13">
        <f>14796405540.6606/(10^9)</f>
        <v>14.796405540660601</v>
      </c>
      <c r="D55" s="13">
        <f>20131319566.0624/(10^9)</f>
        <v>20.131319566062402</v>
      </c>
      <c r="E55" s="13">
        <f>21854678564.2154/(10^9)</f>
        <v>21.854678564215401</v>
      </c>
      <c r="F55" s="13">
        <f>751160396.294275/(10^9)</f>
        <v>0.751160396294275</v>
      </c>
      <c r="G55" s="13">
        <f>91854281579.4837/(10^9)</f>
        <v>91.854281579483697</v>
      </c>
      <c r="H55" s="34">
        <f t="shared" si="1"/>
        <v>1.1455401781843788</v>
      </c>
      <c r="I55" s="13">
        <f>93577640577.6367/(10^9)</f>
        <v>93.5776405776367</v>
      </c>
      <c r="J55" s="34">
        <f t="shared" si="2"/>
        <v>4.5667260940357446</v>
      </c>
      <c r="K55" s="34">
        <f t="shared" si="2"/>
        <v>12.840843173558092</v>
      </c>
      <c r="L55" s="34">
        <f t="shared" si="2"/>
        <v>-15.332379769207893</v>
      </c>
      <c r="M55" s="34">
        <f t="shared" si="2"/>
        <v>-8.0843350149575226</v>
      </c>
      <c r="N55" s="34">
        <f t="shared" si="2"/>
        <v>271.12677004990718</v>
      </c>
      <c r="O55" s="42">
        <f t="shared" si="3"/>
        <v>3.0432206541705309</v>
      </c>
      <c r="P55" s="38">
        <v>0</v>
      </c>
      <c r="Q55" s="38">
        <v>0</v>
      </c>
    </row>
    <row r="56" spans="1:17" x14ac:dyDescent="0.25">
      <c r="A56" s="14">
        <v>37681</v>
      </c>
      <c r="B56" s="13">
        <f>56190557210.5741/(10^9)</f>
        <v>56.190557210574099</v>
      </c>
      <c r="C56" s="13">
        <f>14699294403.4255/(10^9)</f>
        <v>14.699294403425501</v>
      </c>
      <c r="D56" s="13">
        <f>20024725388.4762/(10^9)</f>
        <v>20.024725388476199</v>
      </c>
      <c r="E56" s="13">
        <f>21717623625.5314/(10^9)</f>
        <v>21.717623625531399</v>
      </c>
      <c r="F56" s="13">
        <f>760284932.262506/(10^9)</f>
        <v>0.76028493226250604</v>
      </c>
      <c r="G56" s="13">
        <f>91674861934.7383/(10^9)</f>
        <v>91.674861934738303</v>
      </c>
      <c r="H56" s="34">
        <f t="shared" si="1"/>
        <v>1.6906493807558265</v>
      </c>
      <c r="I56" s="13">
        <f>93367760171.7935/(10^9)</f>
        <v>93.367760171793506</v>
      </c>
      <c r="J56" s="34">
        <f t="shared" si="2"/>
        <v>4.9286851581291424</v>
      </c>
      <c r="K56" s="34">
        <f t="shared" si="2"/>
        <v>15.357312687690516</v>
      </c>
      <c r="L56" s="34">
        <f t="shared" si="2"/>
        <v>-15.156680818140488</v>
      </c>
      <c r="M56" s="34">
        <f t="shared" si="2"/>
        <v>-7.9839929194321151</v>
      </c>
      <c r="N56" s="34">
        <f t="shared" si="2"/>
        <v>197.99708672665795</v>
      </c>
      <c r="O56" s="42">
        <f t="shared" si="3"/>
        <v>3.5685024522361219</v>
      </c>
      <c r="P56" s="38">
        <v>0</v>
      </c>
      <c r="Q56" s="38">
        <v>0</v>
      </c>
    </row>
    <row r="57" spans="1:17" x14ac:dyDescent="0.25">
      <c r="A57" s="14">
        <v>37712</v>
      </c>
      <c r="B57" s="13">
        <f>56457997365.0382/(10^9)</f>
        <v>56.457997365038203</v>
      </c>
      <c r="C57" s="13">
        <f>14931967963.9941/(10^9)</f>
        <v>14.931967963994101</v>
      </c>
      <c r="D57" s="13">
        <f>19883329656.0617/(10^9)</f>
        <v>19.883329656061697</v>
      </c>
      <c r="E57" s="13">
        <f>21552195163.5663/(10^9)</f>
        <v>21.552195163566299</v>
      </c>
      <c r="F57" s="13">
        <f>706194632.837259/(10^9)</f>
        <v>0.70619463283725903</v>
      </c>
      <c r="G57" s="13">
        <f>91979489617.9313/(10^9)</f>
        <v>91.979489617931307</v>
      </c>
      <c r="H57" s="34">
        <f t="shared" si="1"/>
        <v>2.6994447028503066</v>
      </c>
      <c r="I57" s="13">
        <f>93648355125.4359/(10^9)</f>
        <v>93.648355125435899</v>
      </c>
      <c r="J57" s="34">
        <f t="shared" si="2"/>
        <v>6.3829319531938822</v>
      </c>
      <c r="K57" s="34">
        <f t="shared" si="2"/>
        <v>16.188002035696549</v>
      </c>
      <c r="L57" s="34">
        <f t="shared" si="2"/>
        <v>-14.967743495261976</v>
      </c>
      <c r="M57" s="34">
        <f t="shared" si="2"/>
        <v>-7.830739665383879</v>
      </c>
      <c r="N57" s="34">
        <f t="shared" si="2"/>
        <v>175.38332367214156</v>
      </c>
      <c r="O57" s="42">
        <f t="shared" si="3"/>
        <v>4.5628118689043706</v>
      </c>
      <c r="P57" s="38">
        <v>0</v>
      </c>
      <c r="Q57" s="38">
        <v>0</v>
      </c>
    </row>
    <row r="58" spans="1:17" x14ac:dyDescent="0.25">
      <c r="A58" s="14">
        <v>37742</v>
      </c>
      <c r="B58" s="13">
        <f>56662877219.4776/(10^9)</f>
        <v>56.6628772194776</v>
      </c>
      <c r="C58" s="13">
        <f>15102229007.8026/(10^9)</f>
        <v>15.102229007802601</v>
      </c>
      <c r="D58" s="13">
        <f>19776099995.2383/(10^9)</f>
        <v>19.776099995238301</v>
      </c>
      <c r="E58" s="13">
        <f>21423867592.0134/(10^9)</f>
        <v>21.423867592013401</v>
      </c>
      <c r="F58" s="13">
        <f>730245256.470184/(10^9)</f>
        <v>0.73024525647018401</v>
      </c>
      <c r="G58" s="13">
        <f>92271451478.9887/(10^9)</f>
        <v>92.271451478988695</v>
      </c>
      <c r="H58" s="34">
        <f t="shared" si="1"/>
        <v>3.6318403203800642</v>
      </c>
      <c r="I58" s="13">
        <f>93919219075.7638/(10^9)</f>
        <v>93.919219075763792</v>
      </c>
      <c r="J58" s="34">
        <f t="shared" si="2"/>
        <v>7.4130200479681996</v>
      </c>
      <c r="K58" s="34">
        <f t="shared" si="2"/>
        <v>13.981375975838905</v>
      </c>
      <c r="L58" s="34">
        <f t="shared" si="2"/>
        <v>-13.180738073600274</v>
      </c>
      <c r="M58" s="34">
        <f t="shared" si="2"/>
        <v>-9.4999784795691706</v>
      </c>
      <c r="N58" s="34">
        <f t="shared" si="2"/>
        <v>183.91849339295092</v>
      </c>
      <c r="O58" s="42">
        <f t="shared" si="3"/>
        <v>4.4335368749154558</v>
      </c>
      <c r="P58" s="38">
        <v>0</v>
      </c>
      <c r="Q58" s="38">
        <v>0</v>
      </c>
    </row>
    <row r="59" spans="1:17" x14ac:dyDescent="0.25">
      <c r="A59" s="14">
        <v>37773</v>
      </c>
      <c r="B59" s="13">
        <f>55734485144.4118/(10^9)</f>
        <v>55.734485144411799</v>
      </c>
      <c r="C59" s="13">
        <f>15313439069.4474/(10^9)</f>
        <v>15.3134390694474</v>
      </c>
      <c r="D59" s="13">
        <f>18802020991.5921/(10^9)</f>
        <v>18.802020991592098</v>
      </c>
      <c r="E59" s="13">
        <f>21212781324.5044/(10^9)</f>
        <v>21.212781324504398</v>
      </c>
      <c r="F59" s="13">
        <f>754150748.876441/(10^9)</f>
        <v>0.75415074887644096</v>
      </c>
      <c r="G59" s="13">
        <f>90604095954.3278/(10^9)</f>
        <v>90.604095954327803</v>
      </c>
      <c r="H59" s="34">
        <f t="shared" si="1"/>
        <v>1.076254115405173</v>
      </c>
      <c r="I59" s="13">
        <f>93014856287.24/(10^9)</f>
        <v>93.014856287240008</v>
      </c>
      <c r="J59" s="34">
        <f t="shared" si="2"/>
        <v>4.1616696868717495</v>
      </c>
      <c r="K59" s="34">
        <f t="shared" si="2"/>
        <v>15.558217027871212</v>
      </c>
      <c r="L59" s="34">
        <f t="shared" si="2"/>
        <v>-16.901478000016169</v>
      </c>
      <c r="M59" s="34">
        <f t="shared" si="2"/>
        <v>-9.7707001133827802</v>
      </c>
      <c r="N59" s="34">
        <f t="shared" si="2"/>
        <v>197.15886454046432</v>
      </c>
      <c r="O59" s="42">
        <f t="shared" si="3"/>
        <v>2.7527008269290443</v>
      </c>
      <c r="P59" s="38">
        <v>0</v>
      </c>
      <c r="Q59" s="38">
        <v>0</v>
      </c>
    </row>
    <row r="60" spans="1:17" x14ac:dyDescent="0.25">
      <c r="A60" s="14">
        <v>37803</v>
      </c>
      <c r="B60" s="13">
        <f>55707233312.7809/(10^9)</f>
        <v>55.7072333127809</v>
      </c>
      <c r="C60" s="13">
        <f>15666742003.9209/(10^9)</f>
        <v>15.6667420039209</v>
      </c>
      <c r="D60" s="13">
        <f>18658668346.3882/(10^9)</f>
        <v>18.6586683463882</v>
      </c>
      <c r="E60" s="13">
        <f>21026523466.5749/(10^9)</f>
        <v>21.026523466574901</v>
      </c>
      <c r="F60" s="13">
        <f>809331490.525069/(10^9)</f>
        <v>0.80933149052506903</v>
      </c>
      <c r="G60" s="13">
        <f>90841975153.6151/(10^9)</f>
        <v>90.841975153615095</v>
      </c>
      <c r="H60" s="34">
        <f t="shared" si="1"/>
        <v>-5.3516132129560745E-2</v>
      </c>
      <c r="I60" s="13">
        <f>93209830273.8018/(10^9)</f>
        <v>93.209830273801799</v>
      </c>
      <c r="J60" s="34">
        <f t="shared" si="2"/>
        <v>2.0265133336279773</v>
      </c>
      <c r="K60" s="34">
        <f t="shared" si="2"/>
        <v>15.295924973444496</v>
      </c>
      <c r="L60" s="34">
        <f t="shared" si="2"/>
        <v>-16.875343285388123</v>
      </c>
      <c r="M60" s="34">
        <f t="shared" si="2"/>
        <v>-9.8162794244012872</v>
      </c>
      <c r="N60" s="34">
        <f t="shared" si="2"/>
        <v>217.41529655127465</v>
      </c>
      <c r="O60" s="42">
        <f t="shared" si="3"/>
        <v>1.5808934307647515</v>
      </c>
      <c r="P60" s="38">
        <v>0</v>
      </c>
      <c r="Q60" s="38">
        <v>0</v>
      </c>
    </row>
    <row r="61" spans="1:17" x14ac:dyDescent="0.25">
      <c r="A61" s="14">
        <v>37834</v>
      </c>
      <c r="B61" s="13">
        <f>55887364788.6995/(10^9)</f>
        <v>55.8873647886995</v>
      </c>
      <c r="C61" s="13">
        <f>15955913517.9988/(10^9)</f>
        <v>15.9559135179988</v>
      </c>
      <c r="D61" s="13">
        <f>18589494863.1959/(10^9)</f>
        <v>18.589494863195899</v>
      </c>
      <c r="E61" s="13">
        <f>20902834085.6414/(10^9)</f>
        <v>20.902834085641398</v>
      </c>
      <c r="F61" s="13">
        <f>838039381.665162/(10^9)</f>
        <v>0.83803938166516201</v>
      </c>
      <c r="G61" s="13">
        <f>91270812551.5593/(10^9)</f>
        <v>91.270812551559303</v>
      </c>
      <c r="H61" s="34">
        <f t="shared" si="1"/>
        <v>0.1875144638699755</v>
      </c>
      <c r="I61" s="13">
        <f>93584151774.0049/(10^9)</f>
        <v>93.584151774004894</v>
      </c>
      <c r="J61" s="34">
        <f t="shared" si="2"/>
        <v>2.8614970116604743</v>
      </c>
      <c r="K61" s="34">
        <f t="shared" si="2"/>
        <v>14.667196368677216</v>
      </c>
      <c r="L61" s="34">
        <f t="shared" si="2"/>
        <v>-16.469645259478217</v>
      </c>
      <c r="M61" s="34">
        <f t="shared" si="2"/>
        <v>-9.5440375600683183</v>
      </c>
      <c r="N61" s="34">
        <f t="shared" si="2"/>
        <v>40.235452854654085</v>
      </c>
      <c r="O61" s="42">
        <f t="shared" si="3"/>
        <v>1.7733351704808165</v>
      </c>
      <c r="P61" s="38">
        <v>0</v>
      </c>
      <c r="Q61" s="38">
        <v>0</v>
      </c>
    </row>
    <row r="62" spans="1:17" x14ac:dyDescent="0.25">
      <c r="A62" s="14">
        <v>37865</v>
      </c>
      <c r="B62" s="13">
        <f>56354277866.6799/(10^9)</f>
        <v>56.354277866679901</v>
      </c>
      <c r="C62" s="13">
        <f>16123741974.9039/(10^9)</f>
        <v>16.123741974903901</v>
      </c>
      <c r="D62" s="13">
        <f>18403156997.1804/(10^9)</f>
        <v>18.4031569971804</v>
      </c>
      <c r="E62" s="13">
        <f>20668161605.5366/(10^9)</f>
        <v>20.6681616055366</v>
      </c>
      <c r="F62" s="13">
        <f>891893778.535196/(10^9)</f>
        <v>0.89189377853519591</v>
      </c>
      <c r="G62" s="13">
        <f>91773070617.2995/(10^9)</f>
        <v>91.773070617299496</v>
      </c>
      <c r="H62" s="34">
        <f t="shared" si="1"/>
        <v>-0.508891802841549</v>
      </c>
      <c r="I62" s="13">
        <f>94038075225.6556/(10^9)</f>
        <v>94.038075225655589</v>
      </c>
      <c r="J62" s="34">
        <f t="shared" si="2"/>
        <v>1.6717921004048897</v>
      </c>
      <c r="K62" s="34">
        <f t="shared" si="2"/>
        <v>14.102265709480655</v>
      </c>
      <c r="L62" s="34">
        <f t="shared" si="2"/>
        <v>-16.614063087893992</v>
      </c>
      <c r="M62" s="34">
        <f t="shared" si="2"/>
        <v>-9.7657100372090415</v>
      </c>
      <c r="N62" s="34">
        <f t="shared" si="2"/>
        <v>45.252876041955226</v>
      </c>
      <c r="O62" s="42">
        <f t="shared" si="3"/>
        <v>1.0318805373746409</v>
      </c>
      <c r="P62" s="38">
        <v>0</v>
      </c>
      <c r="Q62" s="38">
        <v>0</v>
      </c>
    </row>
    <row r="63" spans="1:17" x14ac:dyDescent="0.25">
      <c r="A63" s="14">
        <v>37895</v>
      </c>
      <c r="B63" s="13">
        <f>57302396748.1133/(10^9)</f>
        <v>57.302396748113296</v>
      </c>
      <c r="C63" s="13">
        <f>16441577084.7614/(10^9)</f>
        <v>16.441577084761398</v>
      </c>
      <c r="D63" s="13">
        <f>18340809705.7508/(10^9)</f>
        <v>18.3408097057508</v>
      </c>
      <c r="E63" s="13">
        <f>20567880526.9924/(10^9)</f>
        <v>20.567880526992401</v>
      </c>
      <c r="F63" s="13">
        <f>929981635.65257/(10^9)</f>
        <v>0.92998163565256997</v>
      </c>
      <c r="G63" s="13">
        <f>93014765174.2781/(10^9)</f>
        <v>93.014765174278111</v>
      </c>
      <c r="H63" s="34">
        <f t="shared" si="1"/>
        <v>0.73193209679605076</v>
      </c>
      <c r="I63" s="13">
        <f>95241835995.5197/(10^9)</f>
        <v>95.241835995519693</v>
      </c>
      <c r="J63" s="34">
        <f t="shared" si="2"/>
        <v>3.3062542916723947</v>
      </c>
      <c r="K63" s="34">
        <f t="shared" si="2"/>
        <v>14.41702026749514</v>
      </c>
      <c r="L63" s="34">
        <f t="shared" si="2"/>
        <v>-16.074195792661705</v>
      </c>
      <c r="M63" s="34">
        <f t="shared" si="2"/>
        <v>-9.2815500961661144</v>
      </c>
      <c r="N63" s="34">
        <f t="shared" si="2"/>
        <v>43.744447690638786</v>
      </c>
      <c r="O63" s="42">
        <f t="shared" si="3"/>
        <v>2.2374100696945787</v>
      </c>
      <c r="P63" s="38">
        <v>0</v>
      </c>
      <c r="Q63" s="38">
        <v>0</v>
      </c>
    </row>
    <row r="64" spans="1:17" x14ac:dyDescent="0.25">
      <c r="A64" s="14">
        <v>37926</v>
      </c>
      <c r="B64" s="13">
        <f>57520120471.4409/(10^9)</f>
        <v>57.520120471440904</v>
      </c>
      <c r="C64" s="13">
        <f>16771634100.4861/(10^9)</f>
        <v>16.7716341004861</v>
      </c>
      <c r="D64" s="13">
        <f>17632348773.886/(10^9)</f>
        <v>17.632348773886001</v>
      </c>
      <c r="E64" s="13">
        <f>20370652819.3645/(10^9)</f>
        <v>20.370652819364498</v>
      </c>
      <c r="F64" s="13">
        <f>966178639.979553/(10^9)</f>
        <v>0.966178639979553</v>
      </c>
      <c r="G64" s="13">
        <f>92890281985.7925/(10^9)</f>
        <v>92.890281985792498</v>
      </c>
      <c r="H64" s="34">
        <f t="shared" si="1"/>
        <v>0.68109520049670635</v>
      </c>
      <c r="I64" s="13">
        <f>95628586031.271/(10^9)</f>
        <v>95.628586031270999</v>
      </c>
      <c r="J64" s="34">
        <f t="shared" si="2"/>
        <v>2.0351665416134423</v>
      </c>
      <c r="K64" s="34">
        <f t="shared" si="2"/>
        <v>14.86423995692685</v>
      </c>
      <c r="L64" s="34">
        <f t="shared" si="2"/>
        <v>-14.532021191031985</v>
      </c>
      <c r="M64" s="34">
        <f t="shared" si="2"/>
        <v>-9.352235873430903</v>
      </c>
      <c r="N64" s="34">
        <f t="shared" si="2"/>
        <v>46.963406694504428</v>
      </c>
      <c r="O64" s="42">
        <f t="shared" si="3"/>
        <v>1.6202684556677838</v>
      </c>
      <c r="P64" s="38">
        <v>0</v>
      </c>
      <c r="Q64" s="38">
        <v>0</v>
      </c>
    </row>
    <row r="65" spans="1:17" x14ac:dyDescent="0.25">
      <c r="A65" s="14">
        <v>37956</v>
      </c>
      <c r="B65" s="13">
        <f>57243913588.6681/(10^9)</f>
        <v>57.2439135886681</v>
      </c>
      <c r="C65" s="13">
        <f>17097163507.3875/(10^9)</f>
        <v>17.097163507387499</v>
      </c>
      <c r="D65" s="13">
        <f>17225771580.0249/(10^9)</f>
        <v>17.225771580024897</v>
      </c>
      <c r="E65" s="13">
        <f>19906801166.6434/(10^9)</f>
        <v>19.906801166643397</v>
      </c>
      <c r="F65" s="13">
        <f>983711329.366955/(10^9)</f>
        <v>0.98371132936695505</v>
      </c>
      <c r="G65" s="13">
        <f>92550560005.4475/(10^9)</f>
        <v>92.550560005447494</v>
      </c>
      <c r="H65" s="34">
        <f t="shared" si="1"/>
        <v>-0.66936580822056779</v>
      </c>
      <c r="I65" s="13">
        <f>95231589592.066/(10^9)</f>
        <v>95.231589592066001</v>
      </c>
      <c r="J65" s="34">
        <f t="shared" si="2"/>
        <v>0.57038889353318023</v>
      </c>
      <c r="K65" s="34">
        <f t="shared" si="2"/>
        <v>15.686726886107483</v>
      </c>
      <c r="L65" s="34">
        <f t="shared" si="2"/>
        <v>-17.006531500115408</v>
      </c>
      <c r="M65" s="34">
        <f t="shared" si="2"/>
        <v>-11.788402030150847</v>
      </c>
      <c r="N65" s="34">
        <f t="shared" si="2"/>
        <v>36.519868456433223</v>
      </c>
      <c r="O65" s="42">
        <f t="shared" si="3"/>
        <v>0.2588032276510166</v>
      </c>
      <c r="P65" s="38">
        <v>0</v>
      </c>
      <c r="Q65" s="38">
        <v>0</v>
      </c>
    </row>
    <row r="66" spans="1:17" x14ac:dyDescent="0.25">
      <c r="A66" s="14">
        <v>37987</v>
      </c>
      <c r="B66" s="13">
        <f>60920129729.8559/(10^9)</f>
        <v>60.920129729855901</v>
      </c>
      <c r="C66" s="13">
        <f>17533626059.2151/(10^9)</f>
        <v>17.533626059215099</v>
      </c>
      <c r="D66" s="13">
        <f>17118175404.4988/(10^9)</f>
        <v>17.1181754044988</v>
      </c>
      <c r="E66" s="13">
        <f>19749198133.4867/(10^9)</f>
        <v>19.749198133486697</v>
      </c>
      <c r="F66" s="13">
        <f>995840220.66482/(10^9)</f>
        <v>0.99584022066481992</v>
      </c>
      <c r="G66" s="13">
        <f>96567771414.2347/(10^9)</f>
        <v>96.567771414234699</v>
      </c>
      <c r="H66" s="34">
        <f t="shared" si="1"/>
        <v>4.4716980658694672</v>
      </c>
      <c r="I66" s="13">
        <f>99198794143.2226/(10^9)</f>
        <v>99.198794143222599</v>
      </c>
      <c r="J66" s="34">
        <f t="shared" si="2"/>
        <v>8.1723206557118964</v>
      </c>
      <c r="K66" s="34">
        <f t="shared" si="2"/>
        <v>17.654259202154222</v>
      </c>
      <c r="L66" s="34">
        <f t="shared" si="2"/>
        <v>-16.382138970663096</v>
      </c>
      <c r="M66" s="34">
        <f t="shared" si="2"/>
        <v>-11.188082861979131</v>
      </c>
      <c r="N66" s="34">
        <f t="shared" si="2"/>
        <v>34.186225589738541</v>
      </c>
      <c r="O66" s="42">
        <f t="shared" si="3"/>
        <v>5.3070495523464212</v>
      </c>
      <c r="P66" s="38">
        <v>0</v>
      </c>
      <c r="Q66" s="38">
        <v>0</v>
      </c>
    </row>
    <row r="67" spans="1:17" x14ac:dyDescent="0.25">
      <c r="A67" s="14">
        <v>38018</v>
      </c>
      <c r="B67" s="13">
        <f>61140147997.9015/(10^9)</f>
        <v>61.140147997901494</v>
      </c>
      <c r="C67" s="13">
        <f>17523106206.3589/(10^9)</f>
        <v>17.523106206358896</v>
      </c>
      <c r="D67" s="13">
        <f>16914070810.4108/(10^9)</f>
        <v>16.914070810410802</v>
      </c>
      <c r="E67" s="13">
        <f>19488979876.312/(10^9)</f>
        <v>19.488979876312001</v>
      </c>
      <c r="F67" s="13">
        <f>1019106099.44314/(10^9)</f>
        <v>1.01910609944314</v>
      </c>
      <c r="G67" s="13">
        <f>96596431114.1143/(10^9)</f>
        <v>96.59643111411431</v>
      </c>
      <c r="H67" s="34">
        <f t="shared" si="1"/>
        <v>5.1626875232017477</v>
      </c>
      <c r="I67" s="13">
        <f>99171340180.0155/(10^9)</f>
        <v>99.171340180015505</v>
      </c>
      <c r="J67" s="34">
        <f t="shared" si="2"/>
        <v>8.8379473367253603</v>
      </c>
      <c r="K67" s="34">
        <f t="shared" si="2"/>
        <v>18.428128765498531</v>
      </c>
      <c r="L67" s="34">
        <f t="shared" si="2"/>
        <v>-15.981310838040008</v>
      </c>
      <c r="M67" s="34">
        <f t="shared" si="2"/>
        <v>-10.82467848224027</v>
      </c>
      <c r="N67" s="34">
        <f t="shared" si="2"/>
        <v>35.670903906905991</v>
      </c>
      <c r="O67" s="42">
        <f t="shared" si="3"/>
        <v>5.9776027348520167</v>
      </c>
      <c r="P67" s="38">
        <v>0</v>
      </c>
      <c r="Q67" s="38">
        <v>0</v>
      </c>
    </row>
    <row r="68" spans="1:17" x14ac:dyDescent="0.25">
      <c r="A68" s="14">
        <v>38047</v>
      </c>
      <c r="B68" s="13">
        <f>59903385085.883/(10^9)</f>
        <v>59.903385085883002</v>
      </c>
      <c r="C68" s="13">
        <f>17672080921.3366/(10^9)</f>
        <v>17.672080921336601</v>
      </c>
      <c r="D68" s="13">
        <f>16775325082.62/(10^9)</f>
        <v>16.77532508262</v>
      </c>
      <c r="E68" s="13">
        <f>19290671437.5572/(10^9)</f>
        <v>19.290671437557201</v>
      </c>
      <c r="F68" s="13">
        <f>1018174073.32559/(10^9)</f>
        <v>1.01817407332559</v>
      </c>
      <c r="G68" s="13">
        <f>95368965163.1651/(10^9)</f>
        <v>95.3689651631651</v>
      </c>
      <c r="H68" s="34">
        <f t="shared" si="1"/>
        <v>4.0295705392570547</v>
      </c>
      <c r="I68" s="13">
        <f>97884311518.1023/(10^9)</f>
        <v>97.884311518102294</v>
      </c>
      <c r="J68" s="34">
        <f t="shared" si="2"/>
        <v>6.6075655049923743</v>
      </c>
      <c r="K68" s="34">
        <f t="shared" si="2"/>
        <v>20.22400828449511</v>
      </c>
      <c r="L68" s="34">
        <f t="shared" si="2"/>
        <v>-16.226940658702659</v>
      </c>
      <c r="M68" s="34">
        <f t="shared" si="2"/>
        <v>-11.175035675270916</v>
      </c>
      <c r="N68" s="34">
        <f t="shared" si="2"/>
        <v>33.920064717794737</v>
      </c>
      <c r="O68" s="42">
        <f t="shared" si="3"/>
        <v>4.8373778464841477</v>
      </c>
      <c r="P68" s="38">
        <v>0</v>
      </c>
      <c r="Q68" s="38">
        <v>0</v>
      </c>
    </row>
    <row r="69" spans="1:17" x14ac:dyDescent="0.25">
      <c r="A69" s="14">
        <v>38078</v>
      </c>
      <c r="B69" s="13">
        <f>60268274437.8459/(10^9)</f>
        <v>60.268274437845903</v>
      </c>
      <c r="C69" s="13">
        <f>18069664613.3815/(10^9)</f>
        <v>18.069664613381502</v>
      </c>
      <c r="D69" s="13">
        <f>16723178202.691/(10^9)</f>
        <v>16.723178202690999</v>
      </c>
      <c r="E69" s="13">
        <f>19204642238.2302/(10^9)</f>
        <v>19.204642238230203</v>
      </c>
      <c r="F69" s="13">
        <f>1004948870.06329/(10^9)</f>
        <v>1.00494887006329</v>
      </c>
      <c r="G69" s="13">
        <f>96066066123.9817/(10^9)</f>
        <v>96.066066123981699</v>
      </c>
      <c r="H69" s="34">
        <f t="shared" si="1"/>
        <v>4.4429214850238985</v>
      </c>
      <c r="I69" s="13">
        <f>98547530159.5209/(10^9)</f>
        <v>98.547530159520903</v>
      </c>
      <c r="J69" s="34">
        <f t="shared" si="2"/>
        <v>6.748870400364626</v>
      </c>
      <c r="K69" s="34">
        <f t="shared" si="2"/>
        <v>21.013282756522255</v>
      </c>
      <c r="L69" s="34">
        <f t="shared" si="2"/>
        <v>-15.893472109724261</v>
      </c>
      <c r="M69" s="34">
        <f t="shared" si="2"/>
        <v>-10.892407513572454</v>
      </c>
      <c r="N69" s="34">
        <f t="shared" si="2"/>
        <v>42.304801443439779</v>
      </c>
      <c r="O69" s="42">
        <f t="shared" si="3"/>
        <v>5.2314587133141632</v>
      </c>
      <c r="P69" s="38">
        <v>0</v>
      </c>
      <c r="Q69" s="38">
        <v>0</v>
      </c>
    </row>
    <row r="70" spans="1:17" x14ac:dyDescent="0.25">
      <c r="A70" s="14">
        <v>38108</v>
      </c>
      <c r="B70" s="13">
        <f>61462084840.5227/(10^9)</f>
        <v>61.462084840522699</v>
      </c>
      <c r="C70" s="13">
        <f>18358079658.6953/(10^9)</f>
        <v>18.358079658695303</v>
      </c>
      <c r="D70" s="13">
        <f>16428821357.6654/(10^9)</f>
        <v>16.428821357665399</v>
      </c>
      <c r="E70" s="13">
        <f>18884685200.6087/(10^9)</f>
        <v>18.8846852006087</v>
      </c>
      <c r="F70" s="13">
        <f>1005191243.18275/(10^9)</f>
        <v>1.0051912431827499</v>
      </c>
      <c r="G70" s="13">
        <f>97254177100.0661/(10^9)</f>
        <v>97.254177100066102</v>
      </c>
      <c r="H70" s="34">
        <f t="shared" si="1"/>
        <v>5.4000728732570558</v>
      </c>
      <c r="I70" s="13">
        <f>99710040943.0095/(10^9)</f>
        <v>99.710040943009503</v>
      </c>
      <c r="J70" s="34">
        <f t="shared" si="2"/>
        <v>8.4697563140958785</v>
      </c>
      <c r="K70" s="34">
        <f t="shared" si="2"/>
        <v>21.558742416172862</v>
      </c>
      <c r="L70" s="34">
        <f t="shared" si="2"/>
        <v>-16.9258784005889</v>
      </c>
      <c r="M70" s="34">
        <f t="shared" si="2"/>
        <v>-11.85211951343128</v>
      </c>
      <c r="N70" s="34">
        <f t="shared" si="2"/>
        <v>37.651184211943175</v>
      </c>
      <c r="O70" s="42">
        <f t="shared" si="3"/>
        <v>6.1657474628002529</v>
      </c>
      <c r="P70" s="38">
        <v>0</v>
      </c>
      <c r="Q70" s="38">
        <v>0</v>
      </c>
    </row>
    <row r="71" spans="1:17" x14ac:dyDescent="0.25">
      <c r="A71" s="14">
        <v>38139</v>
      </c>
      <c r="B71" s="13">
        <f>62772361740.6406/(10^9)</f>
        <v>62.772361740640605</v>
      </c>
      <c r="C71" s="13">
        <f>18570614827.6883/(10^9)</f>
        <v>18.570614827688303</v>
      </c>
      <c r="D71" s="13">
        <f>15611681786.1975/(10^9)</f>
        <v>15.611681786197501</v>
      </c>
      <c r="E71" s="13">
        <f>18882121574.0051/(10^9)</f>
        <v>18.882121574005101</v>
      </c>
      <c r="F71" s="13">
        <f>1026414083.58921/(10^9)</f>
        <v>1.0264140835892099</v>
      </c>
      <c r="G71" s="13">
        <f>97981072438.1155/(10^9)</f>
        <v>97.98107243811549</v>
      </c>
      <c r="H71" s="34">
        <f t="shared" si="1"/>
        <v>8.1419900569465575</v>
      </c>
      <c r="I71" s="13">
        <f>101251512225.923/(10^9)</f>
        <v>101.25151222592301</v>
      </c>
      <c r="J71" s="34">
        <f t="shared" si="2"/>
        <v>12.627508046397473</v>
      </c>
      <c r="K71" s="34">
        <f t="shared" si="2"/>
        <v>21.270047462685614</v>
      </c>
      <c r="L71" s="34">
        <f t="shared" si="2"/>
        <v>-16.968065330962322</v>
      </c>
      <c r="M71" s="34">
        <f t="shared" si="2"/>
        <v>-10.987054054090429</v>
      </c>
      <c r="N71" s="34">
        <f t="shared" si="2"/>
        <v>36.101977637547414</v>
      </c>
      <c r="O71" s="42">
        <f t="shared" si="3"/>
        <v>8.8552047140161285</v>
      </c>
      <c r="P71" s="38">
        <v>0</v>
      </c>
      <c r="Q71" s="38">
        <v>0</v>
      </c>
    </row>
    <row r="72" spans="1:17" x14ac:dyDescent="0.25">
      <c r="A72" s="14">
        <v>38169</v>
      </c>
      <c r="B72" s="13">
        <f>63809565401.5658/(10^9)</f>
        <v>63.809565401565806</v>
      </c>
      <c r="C72" s="13">
        <f>18946401400.8145/(10^9)</f>
        <v>18.946401400814498</v>
      </c>
      <c r="D72" s="13">
        <f>15546055971.9445/(10^9)</f>
        <v>15.546055971944501</v>
      </c>
      <c r="E72" s="13">
        <f>18764463045.6384/(10^9)</f>
        <v>18.764463045638401</v>
      </c>
      <c r="F72" s="13">
        <f>1057889432.77979/(10^9)</f>
        <v>1.0578894327797901</v>
      </c>
      <c r="G72" s="13">
        <f>99359912207.1046/(10^9)</f>
        <v>99.3599122071046</v>
      </c>
      <c r="H72" s="34">
        <f t="shared" si="1"/>
        <v>9.376653291703029</v>
      </c>
      <c r="I72" s="13">
        <f>102578319280.798/(10^9)</f>
        <v>102.578319280798</v>
      </c>
      <c r="J72" s="34">
        <f t="shared" si="2"/>
        <v>14.544488402955725</v>
      </c>
      <c r="K72" s="34">
        <f t="shared" si="2"/>
        <v>20.933895484286392</v>
      </c>
      <c r="L72" s="34">
        <f t="shared" si="2"/>
        <v>-16.681857014979396</v>
      </c>
      <c r="M72" s="34">
        <f t="shared" si="2"/>
        <v>-10.758128534811828</v>
      </c>
      <c r="N72" s="34">
        <f t="shared" si="2"/>
        <v>30.71151254641833</v>
      </c>
      <c r="O72" s="42">
        <f t="shared" si="3"/>
        <v>10.050966705417741</v>
      </c>
      <c r="P72" s="38">
        <v>0</v>
      </c>
      <c r="Q72" s="38">
        <v>0</v>
      </c>
    </row>
    <row r="73" spans="1:17" x14ac:dyDescent="0.25">
      <c r="A73" s="14">
        <v>38200</v>
      </c>
      <c r="B73" s="13">
        <f>64602019435.3037/(10^9)</f>
        <v>64.602019435303703</v>
      </c>
      <c r="C73" s="13">
        <f>19356705401.9285/(10^9)</f>
        <v>19.356705401928501</v>
      </c>
      <c r="D73" s="13">
        <f>15174390499.9666/(10^9)</f>
        <v>15.1743904999666</v>
      </c>
      <c r="E73" s="13">
        <f>19193140205.9442/(10^9)</f>
        <v>19.1931402059442</v>
      </c>
      <c r="F73" s="13">
        <f>1100214264.8504/(10^9)</f>
        <v>1.1002142648504001</v>
      </c>
      <c r="G73" s="13">
        <f>100233329602.049/(10^9)</f>
        <v>100.233329602049</v>
      </c>
      <c r="H73" s="34">
        <f t="shared" si="1"/>
        <v>9.8196967901723617</v>
      </c>
      <c r="I73" s="13">
        <f>104252079308.027/(10^9)</f>
        <v>104.25207930802699</v>
      </c>
      <c r="J73" s="34">
        <f t="shared" si="2"/>
        <v>15.593246665955384</v>
      </c>
      <c r="K73" s="34">
        <f t="shared" si="2"/>
        <v>21.313677089647641</v>
      </c>
      <c r="L73" s="34">
        <f t="shared" si="2"/>
        <v>-18.371152031627481</v>
      </c>
      <c r="M73" s="34">
        <f t="shared" si="2"/>
        <v>-8.179244367976036</v>
      </c>
      <c r="N73" s="34">
        <f t="shared" si="2"/>
        <v>31.284315381969698</v>
      </c>
      <c r="O73" s="42">
        <f t="shared" si="3"/>
        <v>11.399288588717393</v>
      </c>
      <c r="P73" s="38">
        <v>0</v>
      </c>
      <c r="Q73" s="38">
        <v>0</v>
      </c>
    </row>
    <row r="74" spans="1:17" x14ac:dyDescent="0.25">
      <c r="A74" s="14">
        <v>38231</v>
      </c>
      <c r="B74" s="13">
        <f>65594199066.161/(10^9)</f>
        <v>65.594199066160996</v>
      </c>
      <c r="C74" s="13">
        <f>19854053602.2064/(10^9)</f>
        <v>19.854053602206402</v>
      </c>
      <c r="D74" s="13">
        <f>14729455581.0676/(10^9)</f>
        <v>14.729455581067601</v>
      </c>
      <c r="E74" s="13">
        <f>18634983608.1275/(10^9)</f>
        <v>18.634983608127499</v>
      </c>
      <c r="F74" s="13">
        <f>1154577445.85845/(10^9)</f>
        <v>1.1545774458584499</v>
      </c>
      <c r="G74" s="13">
        <f>101332285695.294/(10^9)</f>
        <v>101.332285695294</v>
      </c>
      <c r="H74" s="34">
        <f t="shared" si="1"/>
        <v>10.416143879349038</v>
      </c>
      <c r="I74" s="13">
        <f>105237813722.353/(10^9)</f>
        <v>105.237813722353</v>
      </c>
      <c r="J74" s="34">
        <f t="shared" si="2"/>
        <v>16.396130958044441</v>
      </c>
      <c r="K74" s="34">
        <f t="shared" si="2"/>
        <v>23.135520483449913</v>
      </c>
      <c r="L74" s="34">
        <f t="shared" si="2"/>
        <v>-19.962343508103842</v>
      </c>
      <c r="M74" s="34">
        <f t="shared" si="2"/>
        <v>-9.8372464673609485</v>
      </c>
      <c r="N74" s="34">
        <f t="shared" si="2"/>
        <v>29.452348883369627</v>
      </c>
      <c r="O74" s="42">
        <f t="shared" si="3"/>
        <v>11.909791294454175</v>
      </c>
      <c r="P74" s="38">
        <v>0</v>
      </c>
      <c r="Q74" s="38">
        <v>0</v>
      </c>
    </row>
    <row r="75" spans="1:17" x14ac:dyDescent="0.25">
      <c r="A75" s="14">
        <v>38261</v>
      </c>
      <c r="B75" s="13">
        <f>66233499387.3969/(10^9)</f>
        <v>66.23349938739689</v>
      </c>
      <c r="C75" s="13">
        <f>20356013193.6488/(10^9)</f>
        <v>20.356013193648799</v>
      </c>
      <c r="D75" s="13">
        <f>14658445732.4839/(10^9)</f>
        <v>14.6584457324839</v>
      </c>
      <c r="E75" s="13">
        <f>18481333433.9727/(10^9)</f>
        <v>18.481333433972697</v>
      </c>
      <c r="F75" s="13">
        <f>1213935681.16606/(10^9)</f>
        <v>1.21393568116606</v>
      </c>
      <c r="G75" s="13">
        <f>102461893994.696/(10^9)</f>
        <v>102.461893994696</v>
      </c>
      <c r="H75" s="34">
        <f t="shared" si="1"/>
        <v>10.156590518416264</v>
      </c>
      <c r="I75" s="13">
        <f>106284781696.184/(10^9)</f>
        <v>106.28478169618401</v>
      </c>
      <c r="J75" s="34">
        <f t="shared" si="2"/>
        <v>15.585914632057097</v>
      </c>
      <c r="K75" s="34">
        <f t="shared" si="2"/>
        <v>23.808154708683205</v>
      </c>
      <c r="L75" s="34">
        <f t="shared" ref="L75:N138" si="4">((D75/D63)-1)*100</f>
        <v>-20.07743405195621</v>
      </c>
      <c r="M75" s="34">
        <f t="shared" si="4"/>
        <v>-10.144686956351235</v>
      </c>
      <c r="N75" s="34">
        <f t="shared" si="4"/>
        <v>30.533295995058964</v>
      </c>
      <c r="O75" s="42">
        <f t="shared" si="3"/>
        <v>11.594637572068422</v>
      </c>
      <c r="P75" s="38">
        <v>0</v>
      </c>
      <c r="Q75" s="38">
        <v>0</v>
      </c>
    </row>
    <row r="76" spans="1:17" x14ac:dyDescent="0.25">
      <c r="A76" s="14">
        <v>38292</v>
      </c>
      <c r="B76" s="13">
        <f>67608061015.7033/(10^9)</f>
        <v>67.608061015703299</v>
      </c>
      <c r="C76" s="13">
        <f>20871799373.408/(10^9)</f>
        <v>20.871799373408003</v>
      </c>
      <c r="D76" s="13">
        <f>13847661134.5786/(10^9)</f>
        <v>13.847661134578599</v>
      </c>
      <c r="E76" s="13">
        <f>18144729897.4199/(10^9)</f>
        <v>18.1447298974199</v>
      </c>
      <c r="F76" s="13">
        <f>1344529522.99793/(10^9)</f>
        <v>1.3445295229979302</v>
      </c>
      <c r="G76" s="13">
        <f>103672051046.688/(10^9)</f>
        <v>103.672051046688</v>
      </c>
      <c r="H76" s="34">
        <f t="shared" si="1"/>
        <v>11.606993573929048</v>
      </c>
      <c r="I76" s="13">
        <f>107969119809.529/(10^9)</f>
        <v>107.969119809529</v>
      </c>
      <c r="J76" s="34">
        <f t="shared" ref="J76:N139" si="5">((B76/B64)-1)*100</f>
        <v>17.538107468448572</v>
      </c>
      <c r="K76" s="34">
        <f t="shared" si="5"/>
        <v>24.447023160391179</v>
      </c>
      <c r="L76" s="34">
        <f t="shared" si="4"/>
        <v>-21.46445540433405</v>
      </c>
      <c r="M76" s="34">
        <f t="shared" si="4"/>
        <v>-10.927106468716696</v>
      </c>
      <c r="N76" s="34">
        <f t="shared" si="4"/>
        <v>39.159516404376738</v>
      </c>
      <c r="O76" s="42">
        <f t="shared" si="3"/>
        <v>12.904649425876258</v>
      </c>
      <c r="P76" s="38">
        <v>0</v>
      </c>
      <c r="Q76" s="38">
        <v>0</v>
      </c>
    </row>
    <row r="77" spans="1:17" x14ac:dyDescent="0.25">
      <c r="A77" s="14">
        <v>38322</v>
      </c>
      <c r="B77" s="13">
        <f>68605694727.9271/(10^9)</f>
        <v>68.605694727927101</v>
      </c>
      <c r="C77" s="13">
        <f>21405401793.0287/(10^9)</f>
        <v>21.405401793028702</v>
      </c>
      <c r="D77" s="13">
        <f>12334179649.367/(10^9)</f>
        <v>12.334179649367</v>
      </c>
      <c r="E77" s="13">
        <f>17461212813.1337/(10^9)</f>
        <v>17.461212813133702</v>
      </c>
      <c r="F77" s="13">
        <f>1380684401.70159/(10^9)</f>
        <v>1.38068440170159</v>
      </c>
      <c r="G77" s="13">
        <f>103725960572.024/(10^9)</f>
        <v>103.72596057202401</v>
      </c>
      <c r="H77" s="34">
        <f t="shared" si="1"/>
        <v>12.074914042571683</v>
      </c>
      <c r="I77" s="13">
        <f>108852993735.791/(10^9)</f>
        <v>108.852993735791</v>
      </c>
      <c r="J77" s="34">
        <f t="shared" si="5"/>
        <v>19.848016019485005</v>
      </c>
      <c r="K77" s="34">
        <f t="shared" si="5"/>
        <v>25.198555794238374</v>
      </c>
      <c r="L77" s="34">
        <f t="shared" si="4"/>
        <v>-28.396939480668692</v>
      </c>
      <c r="M77" s="34">
        <f t="shared" si="4"/>
        <v>-12.285190036496763</v>
      </c>
      <c r="N77" s="34">
        <f t="shared" si="4"/>
        <v>40.354630518497522</v>
      </c>
      <c r="O77" s="42">
        <f t="shared" si="3"/>
        <v>14.303451409425838</v>
      </c>
      <c r="P77" s="38">
        <v>0</v>
      </c>
      <c r="Q77" s="38">
        <v>0</v>
      </c>
    </row>
    <row r="78" spans="1:17" x14ac:dyDescent="0.25">
      <c r="A78" s="14">
        <v>38353</v>
      </c>
      <c r="B78" s="13">
        <f>68130313343.9226/(10^9)</f>
        <v>68.130313343922595</v>
      </c>
      <c r="C78" s="13">
        <f>21651500479.0265/(10^9)</f>
        <v>21.651500479026502</v>
      </c>
      <c r="D78" s="13">
        <f>12345701934.9631/(10^9)</f>
        <v>12.345701934963101</v>
      </c>
      <c r="E78" s="13">
        <f>17368507675.5272/(10^9)</f>
        <v>17.368507675527198</v>
      </c>
      <c r="F78" s="13">
        <f>1425091769.7959/(10^9)</f>
        <v>1.4250917697959</v>
      </c>
      <c r="G78" s="13">
        <f>103552607527.708/(10^9)</f>
        <v>103.55260752770799</v>
      </c>
      <c r="H78" s="34">
        <f t="shared" si="1"/>
        <v>7.2330923776953604</v>
      </c>
      <c r="I78" s="13">
        <f>108575413268.272/(10^9)</f>
        <v>108.575413268272</v>
      </c>
      <c r="J78" s="34">
        <f t="shared" si="5"/>
        <v>11.835469894827067</v>
      </c>
      <c r="K78" s="34">
        <f t="shared" si="5"/>
        <v>23.485583677354537</v>
      </c>
      <c r="L78" s="34">
        <f t="shared" si="4"/>
        <v>-27.879568685114965</v>
      </c>
      <c r="M78" s="34">
        <f t="shared" si="4"/>
        <v>-12.054618328643961</v>
      </c>
      <c r="N78" s="34">
        <f t="shared" si="4"/>
        <v>43.104459954882437</v>
      </c>
      <c r="O78" s="42">
        <f t="shared" si="3"/>
        <v>9.45235192225371</v>
      </c>
      <c r="P78" s="38">
        <v>0</v>
      </c>
      <c r="Q78" s="38">
        <v>0</v>
      </c>
    </row>
    <row r="79" spans="1:17" x14ac:dyDescent="0.25">
      <c r="A79" s="14">
        <v>38384</v>
      </c>
      <c r="B79" s="13">
        <f>68033096178.7995/(10^9)</f>
        <v>68.033096178799497</v>
      </c>
      <c r="C79" s="13">
        <f>21883436382.6991/(10^9)</f>
        <v>21.883436382699099</v>
      </c>
      <c r="D79" s="13">
        <f>12280850423.0517/(10^9)</f>
        <v>12.280850423051701</v>
      </c>
      <c r="E79" s="13">
        <f>17182034715.8219/(10^9)</f>
        <v>17.182034715821899</v>
      </c>
      <c r="F79" s="13">
        <f>1480111521.46213/(10^9)</f>
        <v>1.4801115214621301</v>
      </c>
      <c r="G79" s="13">
        <f>103677494506.012/(10^9)</f>
        <v>103.677494506012</v>
      </c>
      <c r="H79" s="34">
        <f t="shared" si="1"/>
        <v>7.3305641939632959</v>
      </c>
      <c r="I79" s="13">
        <f>108578678798.783/(10^9)</f>
        <v>108.578678798783</v>
      </c>
      <c r="J79" s="34">
        <f t="shared" si="5"/>
        <v>11.274012913960551</v>
      </c>
      <c r="K79" s="34">
        <f t="shared" si="5"/>
        <v>24.883317632109648</v>
      </c>
      <c r="L79" s="34">
        <f t="shared" si="4"/>
        <v>-27.392698300088124</v>
      </c>
      <c r="M79" s="34">
        <f t="shared" si="4"/>
        <v>-11.837177600527426</v>
      </c>
      <c r="N79" s="34">
        <f t="shared" si="4"/>
        <v>45.236253837641897</v>
      </c>
      <c r="O79" s="42">
        <f t="shared" si="3"/>
        <v>9.4859448321373172</v>
      </c>
      <c r="P79" s="38">
        <v>0</v>
      </c>
      <c r="Q79" s="38">
        <v>0</v>
      </c>
    </row>
    <row r="80" spans="1:17" x14ac:dyDescent="0.25">
      <c r="A80" s="14">
        <v>38412</v>
      </c>
      <c r="B80" s="13">
        <f>69173260023.8263/(10^9)</f>
        <v>69.173260023826288</v>
      </c>
      <c r="C80" s="13">
        <f>22096609240.5403/(10^9)</f>
        <v>22.0966092405403</v>
      </c>
      <c r="D80" s="13">
        <f>12107856355.0265/(10^9)</f>
        <v>12.107856355026501</v>
      </c>
      <c r="E80" s="13">
        <f>16915573331.6414/(10^9)</f>
        <v>16.915573331641401</v>
      </c>
      <c r="F80" s="13">
        <f>1523902085.37911/(10^9)</f>
        <v>1.5239020853791101</v>
      </c>
      <c r="G80" s="13">
        <f>104901627704.772/(10^9)</f>
        <v>104.901627704772</v>
      </c>
      <c r="H80" s="34">
        <f t="shared" si="1"/>
        <v>9.995560427123884</v>
      </c>
      <c r="I80" s="13">
        <f>109709344681.387/(10^9)</f>
        <v>109.70934468138699</v>
      </c>
      <c r="J80" s="34">
        <f t="shared" si="5"/>
        <v>15.474709692370702</v>
      </c>
      <c r="K80" s="34">
        <f t="shared" si="5"/>
        <v>25.036826952629497</v>
      </c>
      <c r="L80" s="34">
        <f t="shared" si="4"/>
        <v>-27.823417457520449</v>
      </c>
      <c r="M80" s="34">
        <f t="shared" si="4"/>
        <v>-12.312158825595354</v>
      </c>
      <c r="N80" s="34">
        <f t="shared" si="4"/>
        <v>49.670093287849745</v>
      </c>
      <c r="O80" s="42">
        <f t="shared" si="3"/>
        <v>12.080621480489073</v>
      </c>
      <c r="P80" s="38">
        <v>0</v>
      </c>
      <c r="Q80" s="38">
        <v>0</v>
      </c>
    </row>
    <row r="81" spans="1:17" x14ac:dyDescent="0.25">
      <c r="A81" s="14">
        <v>38443</v>
      </c>
      <c r="B81" s="13">
        <f>69579184047.4573/(10^9)</f>
        <v>69.579184047457304</v>
      </c>
      <c r="C81" s="13">
        <f>22728148987.3265/(10^9)</f>
        <v>22.728148987326499</v>
      </c>
      <c r="D81" s="13">
        <f>12157979971.954/(10^9)</f>
        <v>12.157979971954001</v>
      </c>
      <c r="E81" s="13">
        <f>16879873151.8811/(10^9)</f>
        <v>16.8798731518811</v>
      </c>
      <c r="F81" s="13">
        <f>1575172628.26104/(10^9)</f>
        <v>1.5751726282610399</v>
      </c>
      <c r="G81" s="13">
        <f>106040485634.999/(10^9)</f>
        <v>106.04048563499899</v>
      </c>
      <c r="H81" s="34">
        <f t="shared" ref="H81:H144" si="6">+(G81/G69-1)*100</f>
        <v>10.382874945815335</v>
      </c>
      <c r="I81" s="13">
        <f>110762378814.926/(10^9)</f>
        <v>110.762378814926</v>
      </c>
      <c r="J81" s="34">
        <f t="shared" si="5"/>
        <v>15.44910601217504</v>
      </c>
      <c r="K81" s="34">
        <f t="shared" si="5"/>
        <v>25.780690862934751</v>
      </c>
      <c r="L81" s="34">
        <f t="shared" si="4"/>
        <v>-27.298628139969182</v>
      </c>
      <c r="M81" s="34">
        <f t="shared" si="4"/>
        <v>-12.10524547924795</v>
      </c>
      <c r="N81" s="34">
        <f t="shared" si="4"/>
        <v>56.741569166781389</v>
      </c>
      <c r="O81" s="42">
        <f t="shared" ref="O81:O144" si="7">+(I81/I69-1)*100</f>
        <v>12.394880557262745</v>
      </c>
      <c r="P81" s="38">
        <v>0</v>
      </c>
      <c r="Q81" s="38">
        <v>0</v>
      </c>
    </row>
    <row r="82" spans="1:17" x14ac:dyDescent="0.25">
      <c r="A82" s="14">
        <v>38473</v>
      </c>
      <c r="B82" s="13">
        <f>70192237150.0459/(10^9)</f>
        <v>70.192237150045898</v>
      </c>
      <c r="C82" s="13">
        <f>23198999902.1006/(10^9)</f>
        <v>23.198999902100603</v>
      </c>
      <c r="D82" s="13">
        <f>12169989084.8869/(10^9)</f>
        <v>12.1699890848869</v>
      </c>
      <c r="E82" s="13">
        <f>16791923685.3261/(10^9)</f>
        <v>16.7919236853261</v>
      </c>
      <c r="F82" s="13">
        <f>1630040394.27472/(10^9)</f>
        <v>1.6300403942747199</v>
      </c>
      <c r="G82" s="13">
        <f>107191266531.308/(10^9)</f>
        <v>107.191266531308</v>
      </c>
      <c r="H82" s="34">
        <f t="shared" si="6"/>
        <v>10.217647948444931</v>
      </c>
      <c r="I82" s="13">
        <f>111813201131.747/(10^9)</f>
        <v>111.81320113174699</v>
      </c>
      <c r="J82" s="34">
        <f t="shared" si="5"/>
        <v>14.204126547570839</v>
      </c>
      <c r="K82" s="34">
        <f t="shared" si="5"/>
        <v>26.369426069640124</v>
      </c>
      <c r="L82" s="34">
        <f t="shared" si="4"/>
        <v>-25.922932510258278</v>
      </c>
      <c r="M82" s="34">
        <f t="shared" si="4"/>
        <v>-11.081791902017757</v>
      </c>
      <c r="N82" s="34">
        <f t="shared" si="4"/>
        <v>62.162215929528216</v>
      </c>
      <c r="O82" s="42">
        <f t="shared" si="7"/>
        <v>12.13835645264172</v>
      </c>
      <c r="P82" s="38">
        <v>0</v>
      </c>
      <c r="Q82" s="38">
        <v>0</v>
      </c>
    </row>
    <row r="83" spans="1:17" x14ac:dyDescent="0.25">
      <c r="A83" s="14">
        <v>38504</v>
      </c>
      <c r="B83" s="13">
        <f>71485127982.1483/(10^9)</f>
        <v>71.485127982148299</v>
      </c>
      <c r="C83" s="13">
        <f>23716691163.0727/(10^9)</f>
        <v>23.716691163072699</v>
      </c>
      <c r="D83" s="13">
        <f>12186960207.7532/(10^9)</f>
        <v>12.1869602077532</v>
      </c>
      <c r="E83" s="13">
        <f>16693972393.6561/(10^9)</f>
        <v>16.6939723936561</v>
      </c>
      <c r="F83" s="13">
        <f>1688987081.61183/(10^9)</f>
        <v>1.68898708161183</v>
      </c>
      <c r="G83" s="13">
        <f>109077766434.586/(10^9)</f>
        <v>109.077766434586</v>
      </c>
      <c r="H83" s="34">
        <f t="shared" si="6"/>
        <v>11.325344498019385</v>
      </c>
      <c r="I83" s="13">
        <f>113584778620.489/(10^9)</f>
        <v>113.584778620489</v>
      </c>
      <c r="J83" s="34">
        <f t="shared" si="5"/>
        <v>13.879940151856363</v>
      </c>
      <c r="K83" s="34">
        <f t="shared" si="5"/>
        <v>27.710856011679972</v>
      </c>
      <c r="L83" s="34">
        <f t="shared" si="4"/>
        <v>-21.936916376761808</v>
      </c>
      <c r="M83" s="34">
        <f t="shared" si="4"/>
        <v>-11.588470987081301</v>
      </c>
      <c r="N83" s="34">
        <f t="shared" si="4"/>
        <v>64.55221227145536</v>
      </c>
      <c r="O83" s="42">
        <f t="shared" si="7"/>
        <v>12.180821919031404</v>
      </c>
      <c r="P83" s="38">
        <v>0</v>
      </c>
      <c r="Q83" s="38">
        <v>0</v>
      </c>
    </row>
    <row r="84" spans="1:17" x14ac:dyDescent="0.25">
      <c r="A84" s="14">
        <v>38534</v>
      </c>
      <c r="B84" s="13">
        <f>71537688722.2446/(10^9)</f>
        <v>71.537688722244596</v>
      </c>
      <c r="C84" s="13">
        <f>24395006643.9418/(10^9)</f>
        <v>24.395006643941798</v>
      </c>
      <c r="D84" s="13">
        <f>12217537088.5602/(10^9)</f>
        <v>12.217537088560199</v>
      </c>
      <c r="E84" s="13">
        <f>16631224440.1732/(10^9)</f>
        <v>16.631224440173202</v>
      </c>
      <c r="F84" s="13">
        <f>1737489697.11263/(10^9)</f>
        <v>1.7374896971126299</v>
      </c>
      <c r="G84" s="13">
        <f>109887722151.859/(10^9)</f>
        <v>109.88772215185899</v>
      </c>
      <c r="H84" s="34">
        <f t="shared" si="6"/>
        <v>10.595631287204</v>
      </c>
      <c r="I84" s="13">
        <f>114301409503.472/(10^9)</f>
        <v>114.301409503472</v>
      </c>
      <c r="J84" s="34">
        <f t="shared" si="5"/>
        <v>12.111230145581198</v>
      </c>
      <c r="K84" s="34">
        <f t="shared" si="5"/>
        <v>28.75799539902637</v>
      </c>
      <c r="L84" s="34">
        <f t="shared" si="4"/>
        <v>-21.410696638370396</v>
      </c>
      <c r="M84" s="34">
        <f t="shared" si="4"/>
        <v>-11.368503326083967</v>
      </c>
      <c r="N84" s="34">
        <f t="shared" si="4"/>
        <v>64.241143098203651</v>
      </c>
      <c r="O84" s="42">
        <f t="shared" si="7"/>
        <v>11.428428838440219</v>
      </c>
      <c r="P84" s="38">
        <v>0</v>
      </c>
      <c r="Q84" s="38">
        <v>0</v>
      </c>
    </row>
    <row r="85" spans="1:17" x14ac:dyDescent="0.25">
      <c r="A85" s="14">
        <v>38565</v>
      </c>
      <c r="B85" s="13">
        <f>70936032985.2031/(10^9)</f>
        <v>70.936032985203099</v>
      </c>
      <c r="C85" s="13">
        <f>25087281161.8733/(10^9)</f>
        <v>25.0872811618733</v>
      </c>
      <c r="D85" s="13">
        <f>12245921951.4535/(10^9)</f>
        <v>12.2459219514535</v>
      </c>
      <c r="E85" s="13">
        <f>16544688194.1882/(10^9)</f>
        <v>16.5446881941882</v>
      </c>
      <c r="F85" s="13">
        <f>1792363789.63595/(10^9)</f>
        <v>1.7923637896359501</v>
      </c>
      <c r="G85" s="13">
        <f>110061599888.166/(10^9)</f>
        <v>110.061599888166</v>
      </c>
      <c r="H85" s="34">
        <f t="shared" si="6"/>
        <v>9.8053914053715108</v>
      </c>
      <c r="I85" s="13">
        <f>114360366130.901/(10^9)</f>
        <v>114.360366130901</v>
      </c>
      <c r="J85" s="34">
        <f t="shared" si="5"/>
        <v>9.8046680355598603</v>
      </c>
      <c r="K85" s="34">
        <f t="shared" si="5"/>
        <v>29.605119471280815</v>
      </c>
      <c r="L85" s="34">
        <f t="shared" si="4"/>
        <v>-19.298755679969794</v>
      </c>
      <c r="M85" s="34">
        <f t="shared" si="4"/>
        <v>-13.798950996751236</v>
      </c>
      <c r="N85" s="34">
        <f t="shared" si="4"/>
        <v>62.910429986077652</v>
      </c>
      <c r="O85" s="42">
        <f t="shared" si="7"/>
        <v>9.6960050005407528</v>
      </c>
      <c r="P85" s="38">
        <v>0</v>
      </c>
      <c r="Q85" s="38">
        <v>0</v>
      </c>
    </row>
    <row r="86" spans="1:17" x14ac:dyDescent="0.25">
      <c r="A86" s="14">
        <v>38596</v>
      </c>
      <c r="B86" s="13">
        <f>71742878538.3548/(10^9)</f>
        <v>71.742878538354802</v>
      </c>
      <c r="C86" s="13">
        <f>25881446066.9634/(10^9)</f>
        <v>25.881446066963402</v>
      </c>
      <c r="D86" s="13">
        <f>11534326168.8029/(10^9)</f>
        <v>11.534326168802901</v>
      </c>
      <c r="E86" s="13">
        <f>16379052179.3845/(10^9)</f>
        <v>16.379052179384502</v>
      </c>
      <c r="F86" s="13">
        <f>1848611584.86337/(10^9)</f>
        <v>1.84861158486337</v>
      </c>
      <c r="G86" s="13">
        <f>111007262358.985/(10^9)</f>
        <v>111.007262358985</v>
      </c>
      <c r="H86" s="34">
        <f t="shared" si="6"/>
        <v>9.5477730491381863</v>
      </c>
      <c r="I86" s="13">
        <f>115851988369.566/(10^9)</f>
        <v>115.851988369566</v>
      </c>
      <c r="J86" s="34">
        <f t="shared" si="5"/>
        <v>9.3738159162397814</v>
      </c>
      <c r="K86" s="34">
        <f t="shared" si="5"/>
        <v>30.358497995024901</v>
      </c>
      <c r="L86" s="34">
        <f t="shared" si="4"/>
        <v>-21.692107998693022</v>
      </c>
      <c r="M86" s="34">
        <f t="shared" si="4"/>
        <v>-12.105894355383761</v>
      </c>
      <c r="N86" s="34">
        <f t="shared" si="4"/>
        <v>60.111527511166017</v>
      </c>
      <c r="O86" s="42">
        <f t="shared" si="7"/>
        <v>10.08589429196638</v>
      </c>
      <c r="P86" s="38">
        <v>0</v>
      </c>
      <c r="Q86" s="38">
        <v>0</v>
      </c>
    </row>
    <row r="87" spans="1:17" x14ac:dyDescent="0.25">
      <c r="A87" s="14">
        <v>38626</v>
      </c>
      <c r="B87" s="13">
        <f>72628069095.0677/(10^9)</f>
        <v>72.628069095067701</v>
      </c>
      <c r="C87" s="13">
        <f>26568811338.5496/(10^9)</f>
        <v>26.568811338549597</v>
      </c>
      <c r="D87" s="13">
        <f>11570887184.4684/(10^9)</f>
        <v>11.570887184468399</v>
      </c>
      <c r="E87" s="13">
        <f>16297859159.1528/(10^9)</f>
        <v>16.2978591591528</v>
      </c>
      <c r="F87" s="13">
        <f>1850393856.60527/(10^9)</f>
        <v>1.85039385660527</v>
      </c>
      <c r="G87" s="13">
        <f>112618161474.691/(10^9)</f>
        <v>112.61816147469099</v>
      </c>
      <c r="H87" s="34">
        <f t="shared" si="6"/>
        <v>9.9122386714037614</v>
      </c>
      <c r="I87" s="13">
        <f>117345133449.375/(10^9)</f>
        <v>117.345133449375</v>
      </c>
      <c r="J87" s="34">
        <f t="shared" si="5"/>
        <v>9.6545853183285004</v>
      </c>
      <c r="K87" s="34">
        <f t="shared" si="5"/>
        <v>30.520702093272511</v>
      </c>
      <c r="L87" s="34">
        <f t="shared" si="4"/>
        <v>-21.06334194199939</v>
      </c>
      <c r="M87" s="34">
        <f t="shared" si="4"/>
        <v>-11.81448450470678</v>
      </c>
      <c r="N87" s="34">
        <f t="shared" si="4"/>
        <v>52.429316092583477</v>
      </c>
      <c r="O87" s="42">
        <f t="shared" si="7"/>
        <v>10.406336238058135</v>
      </c>
      <c r="P87" s="38">
        <v>0</v>
      </c>
      <c r="Q87" s="38">
        <v>0</v>
      </c>
    </row>
    <row r="88" spans="1:17" x14ac:dyDescent="0.25">
      <c r="A88" s="14">
        <v>38657</v>
      </c>
      <c r="B88" s="13">
        <f>73344978630.7159/(10^9)</f>
        <v>73.3449786307159</v>
      </c>
      <c r="C88" s="13">
        <f>27445551121.2416/(10^9)</f>
        <v>27.4455511212416</v>
      </c>
      <c r="D88" s="13">
        <f>11608097488.4836/(10^9)</f>
        <v>11.608097488483601</v>
      </c>
      <c r="E88" s="13">
        <f>16220866206.5398/(10^9)</f>
        <v>16.220866206539799</v>
      </c>
      <c r="F88" s="13">
        <f>1948835022.77305/(10^9)</f>
        <v>1.94883502277305</v>
      </c>
      <c r="G88" s="13">
        <f>114347462263.214/(10^9)</f>
        <v>114.347462263214</v>
      </c>
      <c r="H88" s="34">
        <f t="shared" si="6"/>
        <v>10.297289490026973</v>
      </c>
      <c r="I88" s="13">
        <f>118960230981.27/(10^9)</f>
        <v>118.96023098127</v>
      </c>
      <c r="J88" s="34">
        <f t="shared" si="5"/>
        <v>8.4855526527821681</v>
      </c>
      <c r="K88" s="34">
        <f t="shared" si="5"/>
        <v>31.495855389492554</v>
      </c>
      <c r="L88" s="34">
        <f t="shared" si="4"/>
        <v>-16.172865759277201</v>
      </c>
      <c r="M88" s="34">
        <f t="shared" si="4"/>
        <v>-10.602878641658176</v>
      </c>
      <c r="N88" s="34">
        <f t="shared" si="4"/>
        <v>44.945498736813548</v>
      </c>
      <c r="O88" s="42">
        <f t="shared" si="7"/>
        <v>10.179865494069684</v>
      </c>
      <c r="P88" s="38">
        <v>0</v>
      </c>
      <c r="Q88" s="38">
        <v>0</v>
      </c>
    </row>
    <row r="89" spans="1:17" x14ac:dyDescent="0.25">
      <c r="A89" s="14">
        <v>38687</v>
      </c>
      <c r="B89" s="13">
        <f>74805393357.6608/(10^9)</f>
        <v>74.80539335766079</v>
      </c>
      <c r="C89" s="13">
        <f>28456019738.0424/(10^9)</f>
        <v>28.4560197380424</v>
      </c>
      <c r="D89" s="13">
        <f>11537335897.0516/(10^9)</f>
        <v>11.5373358970516</v>
      </c>
      <c r="E89" s="13">
        <f>16192058062.023/(10^9)</f>
        <v>16.192058062023001</v>
      </c>
      <c r="F89" s="13">
        <f>1974658806.31872/(10^9)</f>
        <v>1.97465880631872</v>
      </c>
      <c r="G89" s="13">
        <f>116773407799.074/(10^9)</f>
        <v>116.77340779907401</v>
      </c>
      <c r="H89" s="34">
        <f t="shared" si="6"/>
        <v>12.57876731639449</v>
      </c>
      <c r="I89" s="13">
        <f>121428129964.045/(10^9)</f>
        <v>121.428129964045</v>
      </c>
      <c r="J89" s="34">
        <f t="shared" si="5"/>
        <v>9.0367113900968974</v>
      </c>
      <c r="K89" s="34">
        <f t="shared" si="5"/>
        <v>32.938498483639478</v>
      </c>
      <c r="L89" s="34">
        <f t="shared" si="4"/>
        <v>-6.460451971415015</v>
      </c>
      <c r="M89" s="34">
        <f t="shared" si="4"/>
        <v>-7.2684226731151718</v>
      </c>
      <c r="N89" s="34">
        <f t="shared" si="4"/>
        <v>43.020287901065672</v>
      </c>
      <c r="O89" s="42">
        <f t="shared" si="7"/>
        <v>11.552402737564105</v>
      </c>
      <c r="P89" s="38">
        <v>0</v>
      </c>
      <c r="Q89" s="38">
        <v>0</v>
      </c>
    </row>
    <row r="90" spans="1:17" x14ac:dyDescent="0.25">
      <c r="A90" s="14">
        <v>38718</v>
      </c>
      <c r="B90" s="13">
        <f>75591950489.2694/(10^9)</f>
        <v>75.591950489269394</v>
      </c>
      <c r="C90" s="13">
        <f>29008401274.7067/(10^9)</f>
        <v>29.008401274706699</v>
      </c>
      <c r="D90" s="13">
        <f>11552160978.471/(10^9)</f>
        <v>11.552160978471001</v>
      </c>
      <c r="E90" s="13">
        <f>16084437703.9891/(10^9)</f>
        <v>16.084437703989099</v>
      </c>
      <c r="F90" s="13">
        <f>1993377626.47172/(10^9)</f>
        <v>1.99337762647172</v>
      </c>
      <c r="G90" s="13">
        <f>118145890368.919/(10^9)</f>
        <v>118.14589036891901</v>
      </c>
      <c r="H90" s="34">
        <f t="shared" si="6"/>
        <v>14.092627109661372</v>
      </c>
      <c r="I90" s="13">
        <f>122678167094.437/(10^9)</f>
        <v>122.678167094437</v>
      </c>
      <c r="J90" s="34">
        <f t="shared" si="5"/>
        <v>10.95200767341311</v>
      </c>
      <c r="K90" s="34">
        <f t="shared" si="5"/>
        <v>33.97871109582784</v>
      </c>
      <c r="L90" s="34">
        <f t="shared" si="4"/>
        <v>-6.4276698131257142</v>
      </c>
      <c r="M90" s="34">
        <f t="shared" si="4"/>
        <v>-7.3930932670018379</v>
      </c>
      <c r="N90" s="34">
        <f t="shared" si="4"/>
        <v>39.877141158229357</v>
      </c>
      <c r="O90" s="42">
        <f t="shared" si="7"/>
        <v>12.988901816398712</v>
      </c>
      <c r="P90" s="38">
        <v>0</v>
      </c>
      <c r="Q90" s="38">
        <v>0</v>
      </c>
    </row>
    <row r="91" spans="1:17" x14ac:dyDescent="0.25">
      <c r="A91" s="14">
        <v>38749</v>
      </c>
      <c r="B91" s="13">
        <f>76683640051.5818/(10^9)</f>
        <v>76.683640051581804</v>
      </c>
      <c r="C91" s="13">
        <f>29724950466.2537/(10^9)</f>
        <v>29.724950466253699</v>
      </c>
      <c r="D91" s="13">
        <f>11582555274.066/(10^9)</f>
        <v>11.582555274065999</v>
      </c>
      <c r="E91" s="13">
        <f>15986291405.9132/(10^9)</f>
        <v>15.9862914059132</v>
      </c>
      <c r="F91" s="13">
        <f>2036040044.93487/(10^9)</f>
        <v>2.0360400449348699</v>
      </c>
      <c r="G91" s="13">
        <f>120027185836.836/(10^9)</f>
        <v>120.027185836836</v>
      </c>
      <c r="H91" s="34">
        <f t="shared" si="6"/>
        <v>15.769759298992248</v>
      </c>
      <c r="I91" s="13">
        <f>124430921968.684/(10^9)</f>
        <v>124.430921968684</v>
      </c>
      <c r="J91" s="34">
        <f t="shared" si="5"/>
        <v>12.715199452407088</v>
      </c>
      <c r="K91" s="34">
        <f t="shared" si="5"/>
        <v>35.833102015705578</v>
      </c>
      <c r="L91" s="34">
        <f t="shared" si="4"/>
        <v>-5.6860488071328597</v>
      </c>
      <c r="M91" s="34">
        <f t="shared" si="4"/>
        <v>-6.9592648931596663</v>
      </c>
      <c r="N91" s="34">
        <f t="shared" si="4"/>
        <v>37.559907845563224</v>
      </c>
      <c r="O91" s="42">
        <f t="shared" si="7"/>
        <v>14.599775338285559</v>
      </c>
      <c r="P91" s="38">
        <v>0</v>
      </c>
      <c r="Q91" s="38">
        <v>0</v>
      </c>
    </row>
    <row r="92" spans="1:17" x14ac:dyDescent="0.25">
      <c r="A92" s="14">
        <v>38777</v>
      </c>
      <c r="B92" s="13">
        <f>75905652497.1326/(10^9)</f>
        <v>75.905652497132593</v>
      </c>
      <c r="C92" s="13">
        <f>30594920836.8177/(10^9)</f>
        <v>30.5949208368177</v>
      </c>
      <c r="D92" s="13">
        <f>11666646477.2077/(10^9)</f>
        <v>11.666646477207701</v>
      </c>
      <c r="E92" s="13">
        <f>15934509758.1966/(10^9)</f>
        <v>15.934509758196599</v>
      </c>
      <c r="F92" s="13">
        <f>2093483271.27688/(10^9)</f>
        <v>2.0934832712768801</v>
      </c>
      <c r="G92" s="13">
        <f>120260703082.435/(10^9)</f>
        <v>120.260703082435</v>
      </c>
      <c r="H92" s="34">
        <f t="shared" si="6"/>
        <v>14.641408063646576</v>
      </c>
      <c r="I92" s="13">
        <f>124528566363.424/(10^9)</f>
        <v>124.52856636342399</v>
      </c>
      <c r="J92" s="34">
        <f t="shared" si="5"/>
        <v>9.7326517081707244</v>
      </c>
      <c r="K92" s="34">
        <f t="shared" si="5"/>
        <v>38.459799436945666</v>
      </c>
      <c r="L92" s="34">
        <f t="shared" si="4"/>
        <v>-3.6439966322827533</v>
      </c>
      <c r="M92" s="34">
        <f t="shared" si="4"/>
        <v>-5.799765424501901</v>
      </c>
      <c r="N92" s="34">
        <f t="shared" si="4"/>
        <v>37.376494944297669</v>
      </c>
      <c r="O92" s="42">
        <f t="shared" si="7"/>
        <v>13.507711421551495</v>
      </c>
      <c r="P92" s="38">
        <v>0</v>
      </c>
      <c r="Q92" s="38">
        <v>0</v>
      </c>
    </row>
    <row r="93" spans="1:17" x14ac:dyDescent="0.25">
      <c r="A93" s="14">
        <v>38808</v>
      </c>
      <c r="B93" s="13">
        <f>78416726146.9216/(10^9)</f>
        <v>78.416726146921604</v>
      </c>
      <c r="C93" s="13">
        <f>31580135689.6949/(10^9)</f>
        <v>31.580135689694899</v>
      </c>
      <c r="D93" s="13">
        <f>11912879183.5739/(10^9)</f>
        <v>11.912879183573899</v>
      </c>
      <c r="E93" s="13">
        <f>15926670191.032/(10^9)</f>
        <v>15.926670191031999</v>
      </c>
      <c r="F93" s="13">
        <f>2155487948.60394/(10^9)</f>
        <v>2.1554879486039402</v>
      </c>
      <c r="G93" s="13">
        <f>124065228968.794/(10^9)</f>
        <v>124.065228968794</v>
      </c>
      <c r="H93" s="34">
        <f t="shared" si="6"/>
        <v>16.997982634517371</v>
      </c>
      <c r="I93" s="13">
        <f>128079019976.252/(10^9)</f>
        <v>128.079019976252</v>
      </c>
      <c r="J93" s="34">
        <f t="shared" si="5"/>
        <v>12.701416695885005</v>
      </c>
      <c r="K93" s="34">
        <f t="shared" si="5"/>
        <v>38.947239862359126</v>
      </c>
      <c r="L93" s="34">
        <f t="shared" si="4"/>
        <v>-2.0159663771901259</v>
      </c>
      <c r="M93" s="34">
        <f t="shared" si="4"/>
        <v>-5.6469794072052881</v>
      </c>
      <c r="N93" s="34">
        <f t="shared" si="4"/>
        <v>36.841379156236172</v>
      </c>
      <c r="O93" s="42">
        <f t="shared" si="7"/>
        <v>15.634045915771244</v>
      </c>
      <c r="P93" s="38">
        <v>0</v>
      </c>
      <c r="Q93" s="38">
        <v>0</v>
      </c>
    </row>
    <row r="94" spans="1:17" x14ac:dyDescent="0.25">
      <c r="A94" s="14">
        <v>38838</v>
      </c>
      <c r="B94" s="13">
        <f>80925183607.832/(10^9)</f>
        <v>80.925183607831997</v>
      </c>
      <c r="C94" s="13">
        <f>32738292377.1573/(10^9)</f>
        <v>32.7382923771573</v>
      </c>
      <c r="D94" s="13">
        <f>12361831228.4045/(10^9)</f>
        <v>12.361831228404499</v>
      </c>
      <c r="E94" s="13">
        <f>15987225980.6975/(10^9)</f>
        <v>15.987225980697501</v>
      </c>
      <c r="F94" s="13">
        <f>2131566402.96419/(10^9)</f>
        <v>2.1315664029641899</v>
      </c>
      <c r="G94" s="13">
        <f>128156873616.358/(10^9)</f>
        <v>128.15687361635801</v>
      </c>
      <c r="H94" s="34">
        <f t="shared" si="6"/>
        <v>19.559062751559587</v>
      </c>
      <c r="I94" s="13">
        <f>131782268368.651/(10^9)</f>
        <v>131.78226836865099</v>
      </c>
      <c r="J94" s="34">
        <f t="shared" si="5"/>
        <v>15.290788402772936</v>
      </c>
      <c r="K94" s="34">
        <f t="shared" si="5"/>
        <v>41.11941254068001</v>
      </c>
      <c r="L94" s="34">
        <f t="shared" si="4"/>
        <v>1.5763542775550698</v>
      </c>
      <c r="M94" s="34">
        <f t="shared" si="4"/>
        <v>-4.7921710442967225</v>
      </c>
      <c r="N94" s="34">
        <f t="shared" si="4"/>
        <v>30.767704312789256</v>
      </c>
      <c r="O94" s="42">
        <f t="shared" si="7"/>
        <v>17.859310917478233</v>
      </c>
      <c r="P94" s="38">
        <v>0</v>
      </c>
      <c r="Q94" s="38">
        <v>0</v>
      </c>
    </row>
    <row r="95" spans="1:17" x14ac:dyDescent="0.25">
      <c r="A95" s="14">
        <v>38869</v>
      </c>
      <c r="B95" s="13">
        <f>83599200179.004/(10^9)</f>
        <v>83.599200179004001</v>
      </c>
      <c r="C95" s="13">
        <f>33646372318.3336/(10^9)</f>
        <v>33.646372318333597</v>
      </c>
      <c r="D95" s="13">
        <f>12710523995.9985/(10^9)</f>
        <v>12.710523995998502</v>
      </c>
      <c r="E95" s="13">
        <f>16024893626.1488/(10^9)</f>
        <v>16.024893626148799</v>
      </c>
      <c r="F95" s="13">
        <f>2218927938.61074/(10^9)</f>
        <v>2.2189279386107401</v>
      </c>
      <c r="G95" s="13">
        <f>132175024431.947/(10^9)</f>
        <v>132.17502443194701</v>
      </c>
      <c r="H95" s="34">
        <f t="shared" si="6"/>
        <v>21.175037546457688</v>
      </c>
      <c r="I95" s="13">
        <f>135489394062.097/(10^9)</f>
        <v>135.48939406209701</v>
      </c>
      <c r="J95" s="34">
        <f t="shared" si="5"/>
        <v>16.946283148406629</v>
      </c>
      <c r="K95" s="34">
        <f t="shared" si="5"/>
        <v>41.867902596470039</v>
      </c>
      <c r="L95" s="34">
        <f t="shared" si="4"/>
        <v>4.2960982830830607</v>
      </c>
      <c r="M95" s="34">
        <f t="shared" si="4"/>
        <v>-4.007906277367268</v>
      </c>
      <c r="N95" s="34">
        <f t="shared" si="4"/>
        <v>31.376252830375595</v>
      </c>
      <c r="O95" s="42">
        <f t="shared" si="7"/>
        <v>19.284815894914932</v>
      </c>
      <c r="P95" s="38">
        <v>0</v>
      </c>
      <c r="Q95" s="38">
        <v>0</v>
      </c>
    </row>
    <row r="96" spans="1:17" x14ac:dyDescent="0.25">
      <c r="A96" s="14">
        <v>38899</v>
      </c>
      <c r="B96" s="13">
        <f>85219112595.1172/(10^9)</f>
        <v>85.21911259511721</v>
      </c>
      <c r="C96" s="13">
        <f>34574581953.1428/(10^9)</f>
        <v>34.574581953142797</v>
      </c>
      <c r="D96" s="13">
        <f>12987639877.5793/(10^9)</f>
        <v>12.9876398775793</v>
      </c>
      <c r="E96" s="13">
        <f>16113361757.8218/(10^9)</f>
        <v>16.113361757821799</v>
      </c>
      <c r="F96" s="13">
        <f>2295694131.68176/(10^9)</f>
        <v>2.2956941316817598</v>
      </c>
      <c r="G96" s="13">
        <f>135077028557.521/(10^9)</f>
        <v>135.077028557521</v>
      </c>
      <c r="H96" s="34">
        <f t="shared" si="6"/>
        <v>22.922766904615344</v>
      </c>
      <c r="I96" s="13">
        <f>138202750437.764/(10^9)</f>
        <v>138.202750437764</v>
      </c>
      <c r="J96" s="34">
        <f t="shared" si="5"/>
        <v>19.12477760637854</v>
      </c>
      <c r="K96" s="34">
        <f t="shared" si="5"/>
        <v>41.728110419387711</v>
      </c>
      <c r="L96" s="34">
        <f t="shared" si="4"/>
        <v>6.3032572230959705</v>
      </c>
      <c r="M96" s="34">
        <f t="shared" si="4"/>
        <v>-3.1137976894863528</v>
      </c>
      <c r="N96" s="34">
        <f t="shared" si="4"/>
        <v>32.127064436511901</v>
      </c>
      <c r="O96" s="42">
        <f t="shared" si="7"/>
        <v>20.910801571144198</v>
      </c>
      <c r="P96" s="38">
        <v>0</v>
      </c>
      <c r="Q96" s="38">
        <v>0</v>
      </c>
    </row>
    <row r="97" spans="1:17" x14ac:dyDescent="0.25">
      <c r="A97" s="14">
        <v>38930</v>
      </c>
      <c r="B97" s="13">
        <f>86043319058.1046/(10^9)</f>
        <v>86.043319058104601</v>
      </c>
      <c r="C97" s="13">
        <f>35724496406.9892/(10^9)</f>
        <v>35.724496406989196</v>
      </c>
      <c r="D97" s="13">
        <f>13358860400.2029/(10^9)</f>
        <v>13.3588604002029</v>
      </c>
      <c r="E97" s="13">
        <f>16310955583.9804/(10^9)</f>
        <v>16.310955583980402</v>
      </c>
      <c r="F97" s="13">
        <f>2352174997.16911/(10^9)</f>
        <v>2.3521749971691097</v>
      </c>
      <c r="G97" s="13">
        <f>137478850862.466/(10^9)</f>
        <v>137.478850862466</v>
      </c>
      <c r="H97" s="34">
        <f t="shared" si="6"/>
        <v>24.910823577122976</v>
      </c>
      <c r="I97" s="13">
        <f>140430946046.243/(10^9)</f>
        <v>140.43094604624301</v>
      </c>
      <c r="J97" s="34">
        <f t="shared" si="5"/>
        <v>21.297055159615152</v>
      </c>
      <c r="K97" s="34">
        <f t="shared" si="5"/>
        <v>42.400829234863167</v>
      </c>
      <c r="L97" s="34">
        <f t="shared" si="4"/>
        <v>9.0882373181980114</v>
      </c>
      <c r="M97" s="34">
        <f t="shared" si="4"/>
        <v>-1.4127350571037312</v>
      </c>
      <c r="N97" s="34">
        <f t="shared" si="4"/>
        <v>31.233124144226544</v>
      </c>
      <c r="O97" s="42">
        <f t="shared" si="7"/>
        <v>22.796866429669073</v>
      </c>
      <c r="P97" s="38">
        <v>0</v>
      </c>
      <c r="Q97" s="38">
        <v>0</v>
      </c>
    </row>
    <row r="98" spans="1:17" x14ac:dyDescent="0.25">
      <c r="A98" s="14">
        <v>38961</v>
      </c>
      <c r="B98" s="13">
        <f>87428727818.5491/(10^9)</f>
        <v>87.428727818549106</v>
      </c>
      <c r="C98" s="13">
        <f>37107702010.1977/(10^9)</f>
        <v>37.107702010197698</v>
      </c>
      <c r="D98" s="13">
        <f>13822151107.6119/(10^9)</f>
        <v>13.8221511076119</v>
      </c>
      <c r="E98" s="13">
        <f>16590266169.5834/(10^9)</f>
        <v>16.590266169583401</v>
      </c>
      <c r="F98" s="13">
        <f>2416148376.22978/(10^9)</f>
        <v>2.4161483762297804</v>
      </c>
      <c r="G98" s="13">
        <f>140774729312.589/(10^9)</f>
        <v>140.77472931258899</v>
      </c>
      <c r="H98" s="34">
        <f t="shared" si="6"/>
        <v>26.815783328967569</v>
      </c>
      <c r="I98" s="13">
        <f>143542844374.56/(10^9)</f>
        <v>143.54284437455999</v>
      </c>
      <c r="J98" s="34">
        <f t="shared" si="5"/>
        <v>21.863980927122139</v>
      </c>
      <c r="K98" s="34">
        <f t="shared" si="5"/>
        <v>43.375690501173914</v>
      </c>
      <c r="L98" s="34">
        <f t="shared" si="4"/>
        <v>19.834924947734891</v>
      </c>
      <c r="M98" s="34">
        <f t="shared" si="4"/>
        <v>1.2895373180674241</v>
      </c>
      <c r="N98" s="34">
        <f t="shared" si="4"/>
        <v>30.700705113689786</v>
      </c>
      <c r="O98" s="42">
        <f t="shared" si="7"/>
        <v>23.901925547156424</v>
      </c>
      <c r="P98" s="38">
        <v>0</v>
      </c>
      <c r="Q98" s="38">
        <v>0</v>
      </c>
    </row>
    <row r="99" spans="1:17" x14ac:dyDescent="0.25">
      <c r="A99" s="14">
        <v>38991</v>
      </c>
      <c r="B99" s="13">
        <f>89697855460.5025/(10^9)</f>
        <v>89.697855460502495</v>
      </c>
      <c r="C99" s="13">
        <f>38320454069.6546/(10^9)</f>
        <v>38.320454069654602</v>
      </c>
      <c r="D99" s="13">
        <f>13079207458.664/(10^9)</f>
        <v>13.079207458663999</v>
      </c>
      <c r="E99" s="13">
        <f>16908209569.7194/(10^9)</f>
        <v>16.9082095697194</v>
      </c>
      <c r="F99" s="13">
        <f>2484658934.23891/(10^9)</f>
        <v>2.4846589342389103</v>
      </c>
      <c r="G99" s="13">
        <f>143582175923.06/(10^9)</f>
        <v>143.58217592305999</v>
      </c>
      <c r="H99" s="34">
        <f t="shared" si="6"/>
        <v>27.494690059673577</v>
      </c>
      <c r="I99" s="13">
        <f>147411178034.115/(10^9)</f>
        <v>147.41117803411498</v>
      </c>
      <c r="J99" s="34">
        <f t="shared" si="5"/>
        <v>23.503015539475534</v>
      </c>
      <c r="K99" s="34">
        <f t="shared" si="5"/>
        <v>44.230969091395302</v>
      </c>
      <c r="L99" s="34">
        <f t="shared" si="4"/>
        <v>13.035476451798944</v>
      </c>
      <c r="M99" s="34">
        <f t="shared" si="4"/>
        <v>3.7449729108981256</v>
      </c>
      <c r="N99" s="34">
        <f t="shared" si="4"/>
        <v>34.277301309098718</v>
      </c>
      <c r="O99" s="42">
        <f t="shared" si="7"/>
        <v>25.621893044001752</v>
      </c>
      <c r="P99" s="38">
        <v>0</v>
      </c>
      <c r="Q99" s="38">
        <v>0</v>
      </c>
    </row>
    <row r="100" spans="1:17" x14ac:dyDescent="0.25">
      <c r="A100" s="14">
        <v>39022</v>
      </c>
      <c r="B100" s="13">
        <f>92042409536.0876/(10^9)</f>
        <v>92.042409536087604</v>
      </c>
      <c r="C100" s="13">
        <f>39505057093.7037/(10^9)</f>
        <v>39.505057093703698</v>
      </c>
      <c r="D100" s="13">
        <f>13053762855.3171/(10^9)</f>
        <v>13.0537628553171</v>
      </c>
      <c r="E100" s="13">
        <f>17031352497.3986/(10^9)</f>
        <v>17.031352497398601</v>
      </c>
      <c r="F100" s="13">
        <f>2517931968.59958/(10^9)</f>
        <v>2.51793196859958</v>
      </c>
      <c r="G100" s="13">
        <f>147119161453.708/(10^9)</f>
        <v>147.11916145370802</v>
      </c>
      <c r="H100" s="34">
        <f t="shared" si="6"/>
        <v>28.659752076576517</v>
      </c>
      <c r="I100" s="13">
        <f>151096751095.789/(10^9)</f>
        <v>151.09675109578899</v>
      </c>
      <c r="J100" s="34">
        <f t="shared" si="5"/>
        <v>25.492448500818664</v>
      </c>
      <c r="K100" s="34">
        <f t="shared" si="5"/>
        <v>43.939747900083503</v>
      </c>
      <c r="L100" s="34">
        <f t="shared" si="4"/>
        <v>12.453938884194793</v>
      </c>
      <c r="M100" s="34">
        <f t="shared" si="4"/>
        <v>4.9965660313013194</v>
      </c>
      <c r="N100" s="34">
        <f t="shared" si="4"/>
        <v>29.201904685433377</v>
      </c>
      <c r="O100" s="42">
        <f t="shared" si="7"/>
        <v>27.014507158765365</v>
      </c>
      <c r="P100" s="38">
        <v>0</v>
      </c>
      <c r="Q100" s="38">
        <v>0</v>
      </c>
    </row>
    <row r="101" spans="1:17" x14ac:dyDescent="0.25">
      <c r="A101" s="14">
        <v>39052</v>
      </c>
      <c r="B101" s="13">
        <f>93259763232.568/(10^9)</f>
        <v>93.259763232567991</v>
      </c>
      <c r="C101" s="13">
        <f>40763441420.5764/(10^9)</f>
        <v>40.763441420576399</v>
      </c>
      <c r="D101" s="13">
        <f>12893455784.2053/(10^9)</f>
        <v>12.893455784205299</v>
      </c>
      <c r="E101" s="13">
        <f>17258187987.1134/(10^9)</f>
        <v>17.258187987113399</v>
      </c>
      <c r="F101" s="13">
        <f>2545770001.42526/(10^9)</f>
        <v>2.54577000142526</v>
      </c>
      <c r="G101" s="13">
        <f>149462430438.775/(10^9)</f>
        <v>149.46243043877499</v>
      </c>
      <c r="H101" s="34">
        <f t="shared" si="6"/>
        <v>27.993550291815829</v>
      </c>
      <c r="I101" s="13">
        <f>153827162641.683/(10^9)</f>
        <v>153.827162641683</v>
      </c>
      <c r="J101" s="34">
        <f t="shared" si="5"/>
        <v>24.669838692877221</v>
      </c>
      <c r="K101" s="34">
        <f t="shared" si="5"/>
        <v>43.250678752096874</v>
      </c>
      <c r="L101" s="34">
        <f t="shared" si="4"/>
        <v>11.754185708507103</v>
      </c>
      <c r="M101" s="34">
        <f t="shared" si="4"/>
        <v>6.5842768164900978</v>
      </c>
      <c r="N101" s="34">
        <f t="shared" si="4"/>
        <v>28.922018997866282</v>
      </c>
      <c r="O101" s="42">
        <f t="shared" si="7"/>
        <v>26.681653326318532</v>
      </c>
      <c r="P101" s="38">
        <v>0</v>
      </c>
      <c r="Q101" s="38">
        <v>0</v>
      </c>
    </row>
    <row r="102" spans="1:17" x14ac:dyDescent="0.25">
      <c r="A102" s="14">
        <v>39083</v>
      </c>
      <c r="B102" s="13">
        <f>93190337929.6189/(10^9)</f>
        <v>93.190337929618892</v>
      </c>
      <c r="C102" s="13">
        <f>41417487032.3899/(10^9)</f>
        <v>41.4174870323899</v>
      </c>
      <c r="D102" s="13">
        <f>13215513925.2539/(10^9)</f>
        <v>13.2155139252539</v>
      </c>
      <c r="E102" s="13">
        <f>17451155308.1311/(10^9)</f>
        <v>17.451155308131099</v>
      </c>
      <c r="F102" s="13">
        <f>2581320822.56491/(10^9)</f>
        <v>2.5813208225649098</v>
      </c>
      <c r="G102" s="13">
        <f>150404659709.828/(10^9)</f>
        <v>150.404659709828</v>
      </c>
      <c r="H102" s="34">
        <f t="shared" si="6"/>
        <v>27.304182346231997</v>
      </c>
      <c r="I102" s="13">
        <f>154640301092.705/(10^9)</f>
        <v>154.64030109270499</v>
      </c>
      <c r="J102" s="34">
        <f t="shared" si="5"/>
        <v>23.280769085125886</v>
      </c>
      <c r="K102" s="34">
        <f t="shared" si="5"/>
        <v>42.77755826724259</v>
      </c>
      <c r="L102" s="34">
        <f t="shared" si="4"/>
        <v>14.398630263920143</v>
      </c>
      <c r="M102" s="34">
        <f t="shared" si="4"/>
        <v>8.4971425752921483</v>
      </c>
      <c r="N102" s="34">
        <f t="shared" si="4"/>
        <v>29.494822671098685</v>
      </c>
      <c r="O102" s="42">
        <f t="shared" si="7"/>
        <v>26.053644878524885</v>
      </c>
      <c r="P102" s="38">
        <v>0</v>
      </c>
      <c r="Q102" s="38">
        <v>0</v>
      </c>
    </row>
    <row r="103" spans="1:17" x14ac:dyDescent="0.25">
      <c r="A103" s="14">
        <v>39114</v>
      </c>
      <c r="B103" s="13">
        <f>94606059950.4237/(10^9)</f>
        <v>94.606059950423699</v>
      </c>
      <c r="C103" s="13">
        <f>42179089671.5838/(10^9)</f>
        <v>42.179089671583803</v>
      </c>
      <c r="D103" s="13">
        <f>13469584570.7955/(10^9)</f>
        <v>13.469584570795499</v>
      </c>
      <c r="E103" s="13">
        <f>17577815972.191/(10^9)</f>
        <v>17.577815972191001</v>
      </c>
      <c r="F103" s="13">
        <f>2582193263.01127/(10^9)</f>
        <v>2.5821932630112698</v>
      </c>
      <c r="G103" s="13">
        <f>152836927455.814/(10^9)</f>
        <v>152.83692745581399</v>
      </c>
      <c r="H103" s="34">
        <f t="shared" si="6"/>
        <v>27.335258583484002</v>
      </c>
      <c r="I103" s="13">
        <f>156945158857.21/(10^9)</f>
        <v>156.94515885721</v>
      </c>
      <c r="J103" s="34">
        <f t="shared" si="5"/>
        <v>23.371895083209736</v>
      </c>
      <c r="K103" s="34">
        <f t="shared" si="5"/>
        <v>41.897930896366354</v>
      </c>
      <c r="L103" s="34">
        <f t="shared" si="4"/>
        <v>16.291994746225512</v>
      </c>
      <c r="M103" s="34">
        <f t="shared" si="4"/>
        <v>9.955558333492597</v>
      </c>
      <c r="N103" s="34">
        <f t="shared" si="4"/>
        <v>26.824286655612937</v>
      </c>
      <c r="O103" s="42">
        <f t="shared" si="7"/>
        <v>26.13035118128353</v>
      </c>
      <c r="P103" s="38">
        <v>0</v>
      </c>
      <c r="Q103" s="38">
        <v>0</v>
      </c>
    </row>
    <row r="104" spans="1:17" x14ac:dyDescent="0.25">
      <c r="A104" s="14">
        <v>39142</v>
      </c>
      <c r="B104" s="13">
        <f>95726009071.4541/(10^9)</f>
        <v>95.726009071454101</v>
      </c>
      <c r="C104" s="13">
        <f>43539544962.8833/(10^9)</f>
        <v>43.539544962883298</v>
      </c>
      <c r="D104" s="13">
        <f>13827685195.1879/(10^9)</f>
        <v>13.8276851951879</v>
      </c>
      <c r="E104" s="13">
        <f>17809510929.5317/(10^9)</f>
        <v>17.809510929531701</v>
      </c>
      <c r="F104" s="13">
        <f>2647672437.48505/(10^9)</f>
        <v>2.64767243748505</v>
      </c>
      <c r="G104" s="13">
        <f>155740911667.01/(10^9)</f>
        <v>155.74091166701001</v>
      </c>
      <c r="H104" s="34">
        <f t="shared" si="6"/>
        <v>29.50274501576331</v>
      </c>
      <c r="I104" s="13">
        <f>159722737401.354/(10^9)</f>
        <v>159.72273740135401</v>
      </c>
      <c r="J104" s="34">
        <f t="shared" si="5"/>
        <v>26.111832152513603</v>
      </c>
      <c r="K104" s="34">
        <f t="shared" si="5"/>
        <v>42.309716031322878</v>
      </c>
      <c r="L104" s="34">
        <f t="shared" si="4"/>
        <v>18.523221066156982</v>
      </c>
      <c r="M104" s="34">
        <f t="shared" si="4"/>
        <v>11.766920977098859</v>
      </c>
      <c r="N104" s="34">
        <f t="shared" si="4"/>
        <v>26.472108653161229</v>
      </c>
      <c r="O104" s="42">
        <f t="shared" si="7"/>
        <v>28.26192581003415</v>
      </c>
      <c r="P104" s="38">
        <v>0</v>
      </c>
      <c r="Q104" s="38">
        <v>0</v>
      </c>
    </row>
    <row r="105" spans="1:17" x14ac:dyDescent="0.25">
      <c r="A105" s="14">
        <v>39173</v>
      </c>
      <c r="B105" s="13">
        <f>96210253383.2146/(10^9)</f>
        <v>96.210253383214607</v>
      </c>
      <c r="C105" s="13">
        <f>44862802781.3609/(10^9)</f>
        <v>44.862802781360898</v>
      </c>
      <c r="D105" s="13">
        <f>14095509706.0971/(10^9)</f>
        <v>14.095509706097099</v>
      </c>
      <c r="E105" s="13">
        <f>17982988656.563/(10^9)</f>
        <v>17.982988656562998</v>
      </c>
      <c r="F105" s="13">
        <f>2677927562.35627/(10^9)</f>
        <v>2.6779275623562699</v>
      </c>
      <c r="G105" s="13">
        <f>157846493433.029/(10^9)</f>
        <v>157.846493433029</v>
      </c>
      <c r="H105" s="34">
        <f t="shared" si="6"/>
        <v>27.228631861657181</v>
      </c>
      <c r="I105" s="13">
        <f>161733972383.495/(10^9)</f>
        <v>161.733972383495</v>
      </c>
      <c r="J105" s="34">
        <f t="shared" si="5"/>
        <v>22.690984577646155</v>
      </c>
      <c r="K105" s="34">
        <f t="shared" si="5"/>
        <v>42.060196391114133</v>
      </c>
      <c r="L105" s="34">
        <f t="shared" si="4"/>
        <v>18.321603777638607</v>
      </c>
      <c r="M105" s="34">
        <f t="shared" si="4"/>
        <v>12.911163732698338</v>
      </c>
      <c r="N105" s="34">
        <f t="shared" si="4"/>
        <v>24.237649488632119</v>
      </c>
      <c r="O105" s="42">
        <f t="shared" si="7"/>
        <v>26.276709810461686</v>
      </c>
      <c r="P105" s="38">
        <v>0</v>
      </c>
      <c r="Q105" s="38">
        <v>0</v>
      </c>
    </row>
    <row r="106" spans="1:17" x14ac:dyDescent="0.25">
      <c r="A106" s="14">
        <v>39203</v>
      </c>
      <c r="B106" s="13">
        <f>98838682702.1628/(10^9)</f>
        <v>98.838682702162799</v>
      </c>
      <c r="C106" s="13">
        <f>45826130947.3057/(10^9)</f>
        <v>45.8261309473057</v>
      </c>
      <c r="D106" s="13">
        <f>14570021417.5669/(10^9)</f>
        <v>14.570021417566901</v>
      </c>
      <c r="E106" s="13">
        <f>18366852362.3912/(10^9)</f>
        <v>18.366852362391199</v>
      </c>
      <c r="F106" s="13">
        <f>2691486419.61337/(10^9)</f>
        <v>2.6914864196133701</v>
      </c>
      <c r="G106" s="13">
        <f>161926321486.649/(10^9)</f>
        <v>161.92632148664899</v>
      </c>
      <c r="H106" s="34">
        <f t="shared" si="6"/>
        <v>26.350087137254128</v>
      </c>
      <c r="I106" s="13">
        <f>165723152431.473/(10^9)</f>
        <v>165.72315243147298</v>
      </c>
      <c r="J106" s="34">
        <f t="shared" si="5"/>
        <v>22.135876986255141</v>
      </c>
      <c r="K106" s="34">
        <f t="shared" si="5"/>
        <v>39.977157083734348</v>
      </c>
      <c r="L106" s="34">
        <f t="shared" si="4"/>
        <v>17.862969881747894</v>
      </c>
      <c r="M106" s="34">
        <f t="shared" si="4"/>
        <v>14.884548354835214</v>
      </c>
      <c r="N106" s="34">
        <f t="shared" si="4"/>
        <v>26.268007220912605</v>
      </c>
      <c r="O106" s="42">
        <f t="shared" si="7"/>
        <v>25.755273818686231</v>
      </c>
      <c r="P106" s="38">
        <v>0</v>
      </c>
      <c r="Q106" s="38">
        <v>0</v>
      </c>
    </row>
    <row r="107" spans="1:17" x14ac:dyDescent="0.25">
      <c r="A107" s="14">
        <v>39234</v>
      </c>
      <c r="B107" s="13">
        <f>100604780560.408/(10^9)</f>
        <v>100.604780560408</v>
      </c>
      <c r="C107" s="13">
        <f>46857891054.7136/(10^9)</f>
        <v>46.857891054713598</v>
      </c>
      <c r="D107" s="13">
        <f>14462381119.5008/(10^9)</f>
        <v>14.462381119500799</v>
      </c>
      <c r="E107" s="13">
        <f>18659354022.8113/(10^9)</f>
        <v>18.6593540228113</v>
      </c>
      <c r="F107" s="13">
        <f>2703849017.91607/(10^9)</f>
        <v>2.7038490179160699</v>
      </c>
      <c r="G107" s="13">
        <f>164628901752.538/(10^9)</f>
        <v>164.62890175253798</v>
      </c>
      <c r="H107" s="34">
        <f t="shared" si="6"/>
        <v>24.553713880567884</v>
      </c>
      <c r="I107" s="13">
        <f>168825874655.849/(10^9)</f>
        <v>168.82587465584899</v>
      </c>
      <c r="J107" s="34">
        <f t="shared" si="5"/>
        <v>20.341797941836013</v>
      </c>
      <c r="K107" s="34">
        <f t="shared" si="5"/>
        <v>39.26580438266496</v>
      </c>
      <c r="L107" s="34">
        <f t="shared" si="4"/>
        <v>13.782729367049008</v>
      </c>
      <c r="M107" s="34">
        <f t="shared" si="4"/>
        <v>16.439799590080838</v>
      </c>
      <c r="N107" s="34">
        <f t="shared" si="4"/>
        <v>21.853845312747588</v>
      </c>
      <c r="O107" s="42">
        <f t="shared" si="7"/>
        <v>24.604494561746538</v>
      </c>
      <c r="P107" s="38">
        <v>0</v>
      </c>
      <c r="Q107" s="38">
        <v>0</v>
      </c>
    </row>
    <row r="108" spans="1:17" x14ac:dyDescent="0.25">
      <c r="A108" s="14">
        <v>39264</v>
      </c>
      <c r="B108" s="13">
        <f>102439178933.222/(10^9)</f>
        <v>102.439178933222</v>
      </c>
      <c r="C108" s="13">
        <f>47886738370.5725/(10^9)</f>
        <v>47.886738370572502</v>
      </c>
      <c r="D108" s="13">
        <f>14246059245.9648/(10^9)</f>
        <v>14.246059245964799</v>
      </c>
      <c r="E108" s="13">
        <f>18813317839.6736/(10^9)</f>
        <v>18.813317839673598</v>
      </c>
      <c r="F108" s="13">
        <f>2718095539.12791/(10^9)</f>
        <v>2.7180955391279102</v>
      </c>
      <c r="G108" s="13">
        <f>167290072088.887/(10^9)</f>
        <v>167.290072088887</v>
      </c>
      <c r="H108" s="34">
        <f t="shared" si="6"/>
        <v>23.847906542931121</v>
      </c>
      <c r="I108" s="13">
        <f>171857330682.596/(10^9)</f>
        <v>171.857330682596</v>
      </c>
      <c r="J108" s="34">
        <f t="shared" si="5"/>
        <v>20.206812549103503</v>
      </c>
      <c r="K108" s="34">
        <f t="shared" si="5"/>
        <v>38.502725601920517</v>
      </c>
      <c r="L108" s="34">
        <f t="shared" si="4"/>
        <v>9.6893614255344716</v>
      </c>
      <c r="M108" s="34">
        <f t="shared" si="4"/>
        <v>16.756007358558666</v>
      </c>
      <c r="N108" s="34">
        <f t="shared" si="4"/>
        <v>18.399725016359692</v>
      </c>
      <c r="O108" s="42">
        <f t="shared" si="7"/>
        <v>24.351599471232998</v>
      </c>
      <c r="P108" s="38">
        <v>0</v>
      </c>
      <c r="Q108" s="38">
        <v>0</v>
      </c>
    </row>
    <row r="109" spans="1:17" x14ac:dyDescent="0.25">
      <c r="A109" s="14">
        <v>39295</v>
      </c>
      <c r="B109" s="13">
        <f>104367357274.22/(10^9)</f>
        <v>104.36735727422</v>
      </c>
      <c r="C109" s="13">
        <f>48766274297.7327/(10^9)</f>
        <v>48.7662742977327</v>
      </c>
      <c r="D109" s="13">
        <f>14562807943.4772/(10^9)</f>
        <v>14.5628079434772</v>
      </c>
      <c r="E109" s="13">
        <f>18959279029.5313/(10^9)</f>
        <v>18.959279029531299</v>
      </c>
      <c r="F109" s="13">
        <f>2724875228.67856/(10^9)</f>
        <v>2.7248752286785596</v>
      </c>
      <c r="G109" s="13">
        <f>170421314744.109/(10^9)</f>
        <v>170.421314744109</v>
      </c>
      <c r="H109" s="34">
        <f t="shared" si="6"/>
        <v>23.961841166826936</v>
      </c>
      <c r="I109" s="13">
        <f>174817785830.163/(10^9)</f>
        <v>174.81778583016299</v>
      </c>
      <c r="J109" s="34">
        <f t="shared" si="5"/>
        <v>21.296294025735186</v>
      </c>
      <c r="K109" s="34">
        <f t="shared" si="5"/>
        <v>36.506540896100617</v>
      </c>
      <c r="L109" s="34">
        <f t="shared" si="4"/>
        <v>9.0123521558471698</v>
      </c>
      <c r="M109" s="34">
        <f t="shared" si="4"/>
        <v>16.236470217305452</v>
      </c>
      <c r="N109" s="34">
        <f t="shared" si="4"/>
        <v>15.844919360081722</v>
      </c>
      <c r="O109" s="42">
        <f t="shared" si="7"/>
        <v>24.486653940646818</v>
      </c>
      <c r="P109" s="38">
        <v>0</v>
      </c>
      <c r="Q109" s="38">
        <v>0</v>
      </c>
    </row>
    <row r="110" spans="1:17" x14ac:dyDescent="0.25">
      <c r="A110" s="14">
        <v>39326</v>
      </c>
      <c r="B110" s="13">
        <f>106798368248.556/(10^9)</f>
        <v>106.798368248556</v>
      </c>
      <c r="C110" s="13">
        <f>49717826065.0256/(10^9)</f>
        <v>49.717826065025598</v>
      </c>
      <c r="D110" s="13">
        <f>14926446868.3154/(10^9)</f>
        <v>14.926446868315399</v>
      </c>
      <c r="E110" s="13">
        <f>19216465996.0055/(10^9)</f>
        <v>19.2164659960055</v>
      </c>
      <c r="F110" s="13">
        <f>2776035300.55594/(10^9)</f>
        <v>2.7760353005559399</v>
      </c>
      <c r="G110" s="13">
        <f>174218676482.453/(10^9)</f>
        <v>174.21867648245299</v>
      </c>
      <c r="H110" s="34">
        <f t="shared" si="6"/>
        <v>23.757067289827294</v>
      </c>
      <c r="I110" s="13">
        <f>178508695610.143/(10^9)</f>
        <v>178.50869561014301</v>
      </c>
      <c r="J110" s="34">
        <f t="shared" si="5"/>
        <v>22.154777855405761</v>
      </c>
      <c r="K110" s="34">
        <f t="shared" si="5"/>
        <v>33.982497895888208</v>
      </c>
      <c r="L110" s="34">
        <f t="shared" si="4"/>
        <v>7.9893191161494403</v>
      </c>
      <c r="M110" s="34">
        <f t="shared" si="4"/>
        <v>15.829763064543068</v>
      </c>
      <c r="N110" s="34">
        <f t="shared" si="4"/>
        <v>14.895067201449619</v>
      </c>
      <c r="O110" s="42">
        <f t="shared" si="7"/>
        <v>24.359174006851436</v>
      </c>
      <c r="P110" s="38">
        <v>0</v>
      </c>
      <c r="Q110" s="38">
        <v>0</v>
      </c>
    </row>
    <row r="111" spans="1:17" x14ac:dyDescent="0.25">
      <c r="A111" s="14">
        <v>39356</v>
      </c>
      <c r="B111" s="13">
        <f>107952884722.367/(10^9)</f>
        <v>107.952884722367</v>
      </c>
      <c r="C111" s="13">
        <f>51722041495.71/(10^9)</f>
        <v>51.722041495710002</v>
      </c>
      <c r="D111" s="13">
        <f>15704175861.3988/(10^9)</f>
        <v>15.704175861398801</v>
      </c>
      <c r="E111" s="13">
        <f>19869833532.1943/(10^9)</f>
        <v>19.869833532194303</v>
      </c>
      <c r="F111" s="13">
        <f>2825893010.72274/(10^9)</f>
        <v>2.8258930107227402</v>
      </c>
      <c r="G111" s="13">
        <f>178204995090.199/(10^9)</f>
        <v>178.20499509019899</v>
      </c>
      <c r="H111" s="34">
        <f t="shared" si="6"/>
        <v>24.113591359481834</v>
      </c>
      <c r="I111" s="13">
        <f>182370652760.994/(10^9)</f>
        <v>182.37065276099398</v>
      </c>
      <c r="J111" s="34">
        <f t="shared" si="5"/>
        <v>20.35168975684476</v>
      </c>
      <c r="K111" s="34">
        <f t="shared" si="5"/>
        <v>34.972412909553483</v>
      </c>
      <c r="L111" s="34">
        <f t="shared" si="4"/>
        <v>20.069781835259093</v>
      </c>
      <c r="M111" s="34">
        <f t="shared" si="4"/>
        <v>17.515893390503166</v>
      </c>
      <c r="N111" s="34">
        <f t="shared" si="4"/>
        <v>13.733638520023073</v>
      </c>
      <c r="O111" s="42">
        <f t="shared" si="7"/>
        <v>23.715619936765187</v>
      </c>
      <c r="P111" s="38">
        <v>0</v>
      </c>
      <c r="Q111" s="38">
        <v>0</v>
      </c>
    </row>
    <row r="112" spans="1:17" x14ac:dyDescent="0.25">
      <c r="A112" s="14">
        <v>39387</v>
      </c>
      <c r="B112" s="13">
        <f>110764412405.705/(10^9)</f>
        <v>110.764412405705</v>
      </c>
      <c r="C112" s="13">
        <f>52280990029.0251/(10^9)</f>
        <v>52.280990029025098</v>
      </c>
      <c r="D112" s="13">
        <f>15556970380.9396/(10^9)</f>
        <v>15.5569703809396</v>
      </c>
      <c r="E112" s="13">
        <f>20067691861.284/(10^9)</f>
        <v>20.067691861284001</v>
      </c>
      <c r="F112" s="13">
        <f>2856349049.0752/(10^9)</f>
        <v>2.8563490490752002</v>
      </c>
      <c r="G112" s="13">
        <f>181458721864.744/(10^9)</f>
        <v>181.45872186474398</v>
      </c>
      <c r="H112" s="34">
        <f t="shared" si="6"/>
        <v>23.341324183553837</v>
      </c>
      <c r="I112" s="13">
        <f>185969443345.089/(10^9)</f>
        <v>185.96944334508899</v>
      </c>
      <c r="J112" s="34">
        <f t="shared" si="5"/>
        <v>20.340626635026272</v>
      </c>
      <c r="K112" s="34">
        <f t="shared" si="5"/>
        <v>32.339993598838831</v>
      </c>
      <c r="L112" s="34">
        <f t="shared" si="4"/>
        <v>19.176137588579568</v>
      </c>
      <c r="M112" s="34">
        <f t="shared" si="4"/>
        <v>17.827940349124805</v>
      </c>
      <c r="N112" s="34">
        <f t="shared" si="4"/>
        <v>13.440278954948903</v>
      </c>
      <c r="O112" s="42">
        <f t="shared" si="7"/>
        <v>23.079710183306435</v>
      </c>
      <c r="P112" s="38">
        <v>0</v>
      </c>
      <c r="Q112" s="38">
        <v>0</v>
      </c>
    </row>
    <row r="113" spans="1:17" x14ac:dyDescent="0.25">
      <c r="A113" s="14">
        <v>39417</v>
      </c>
      <c r="B113" s="13">
        <f>110580534345.983/(10^9)</f>
        <v>110.580534345983</v>
      </c>
      <c r="C113" s="13">
        <f>52938168600.0648/(10^9)</f>
        <v>52.938168600064799</v>
      </c>
      <c r="D113" s="13">
        <f>15386136242.7516/(10^9)</f>
        <v>15.386136242751601</v>
      </c>
      <c r="E113" s="13">
        <f>20246933555.5348/(10^9)</f>
        <v>20.246933555534802</v>
      </c>
      <c r="F113" s="13">
        <f>2864396899.56786/(10^9)</f>
        <v>2.8643968995678599</v>
      </c>
      <c r="G113" s="13">
        <f>181769236088.367/(10^9)</f>
        <v>181.76923608836699</v>
      </c>
      <c r="H113" s="34">
        <f t="shared" si="6"/>
        <v>21.615335408871196</v>
      </c>
      <c r="I113" s="13">
        <f>186630033401.15/(10^9)</f>
        <v>186.63003340115</v>
      </c>
      <c r="J113" s="34">
        <f t="shared" si="5"/>
        <v>18.572608929127419</v>
      </c>
      <c r="K113" s="34">
        <f t="shared" si="5"/>
        <v>29.866779533837139</v>
      </c>
      <c r="L113" s="34">
        <f t="shared" si="4"/>
        <v>19.33291198469751</v>
      </c>
      <c r="M113" s="34">
        <f t="shared" si="4"/>
        <v>17.317841077250318</v>
      </c>
      <c r="N113" s="34">
        <f t="shared" si="4"/>
        <v>12.515934195320689</v>
      </c>
      <c r="O113" s="42">
        <f t="shared" si="7"/>
        <v>21.324498350058185</v>
      </c>
      <c r="P113" s="38">
        <v>0</v>
      </c>
      <c r="Q113" s="38">
        <v>0</v>
      </c>
    </row>
    <row r="114" spans="1:17" x14ac:dyDescent="0.25">
      <c r="A114" s="14">
        <v>39448</v>
      </c>
      <c r="B114" s="13">
        <f>109779064923.297/(10^9)</f>
        <v>109.779064923297</v>
      </c>
      <c r="C114" s="13">
        <f>53021146060.3004/(10^9)</f>
        <v>53.021146060300403</v>
      </c>
      <c r="D114" s="13">
        <f>15556997901.6356/(10^9)</f>
        <v>15.556997901635599</v>
      </c>
      <c r="E114" s="13">
        <f>20304003696.538/(10^9)</f>
        <v>20.304003696537997</v>
      </c>
      <c r="F114" s="13">
        <f>2845434850.96421/(10^9)</f>
        <v>2.8454348509642102</v>
      </c>
      <c r="G114" s="13">
        <f>181202643736.197/(10^9)</f>
        <v>181.20264373619699</v>
      </c>
      <c r="H114" s="34">
        <f t="shared" si="6"/>
        <v>20.476748583313032</v>
      </c>
      <c r="I114" s="13">
        <f>185949649531.099/(10^9)</f>
        <v>185.949649531099</v>
      </c>
      <c r="J114" s="34">
        <f t="shared" si="5"/>
        <v>17.800908723183916</v>
      </c>
      <c r="K114" s="34">
        <f t="shared" si="5"/>
        <v>28.016328027907743</v>
      </c>
      <c r="L114" s="34">
        <f t="shared" si="4"/>
        <v>17.717691416504742</v>
      </c>
      <c r="M114" s="34">
        <f t="shared" si="4"/>
        <v>16.347619043179652</v>
      </c>
      <c r="N114" s="34">
        <f t="shared" si="4"/>
        <v>10.23173973922642</v>
      </c>
      <c r="O114" s="42">
        <f t="shared" si="7"/>
        <v>20.246564587082915</v>
      </c>
      <c r="P114" s="38">
        <v>0</v>
      </c>
      <c r="Q114" s="38">
        <v>0</v>
      </c>
    </row>
    <row r="115" spans="1:17" x14ac:dyDescent="0.25">
      <c r="A115" s="14">
        <v>39479</v>
      </c>
      <c r="B115" s="13">
        <f>110427034873.45/(10^9)</f>
        <v>110.42703487345</v>
      </c>
      <c r="C115" s="13">
        <f>53104989860.3778/(10^9)</f>
        <v>53.104989860377799</v>
      </c>
      <c r="D115" s="13">
        <f>15819932099.09/(10^9)</f>
        <v>15.81993209909</v>
      </c>
      <c r="E115" s="13">
        <f>20460761478.6621/(10^9)</f>
        <v>20.460761478662103</v>
      </c>
      <c r="F115" s="13">
        <f>2849942454.2399/(10^9)</f>
        <v>2.8499424542398999</v>
      </c>
      <c r="G115" s="13">
        <f>182201899287.158/(10^9)</f>
        <v>182.201899287158</v>
      </c>
      <c r="H115" s="34">
        <f t="shared" si="6"/>
        <v>19.213270195996035</v>
      </c>
      <c r="I115" s="13">
        <f>186842728666.73/(10^9)</f>
        <v>186.84272866673001</v>
      </c>
      <c r="J115" s="34">
        <f t="shared" si="5"/>
        <v>16.723003718067254</v>
      </c>
      <c r="K115" s="34">
        <f t="shared" si="5"/>
        <v>25.903594112309179</v>
      </c>
      <c r="L115" s="34">
        <f t="shared" si="4"/>
        <v>17.44929486088591</v>
      </c>
      <c r="M115" s="34">
        <f t="shared" si="4"/>
        <v>16.401044993485357</v>
      </c>
      <c r="N115" s="34">
        <f t="shared" si="4"/>
        <v>10.369060870230506</v>
      </c>
      <c r="O115" s="42">
        <f t="shared" si="7"/>
        <v>19.0496922792764</v>
      </c>
      <c r="P115" s="38">
        <v>0</v>
      </c>
      <c r="Q115" s="38">
        <v>0</v>
      </c>
    </row>
    <row r="116" spans="1:17" x14ac:dyDescent="0.25">
      <c r="A116" s="14">
        <v>39508</v>
      </c>
      <c r="B116" s="13">
        <f>111006810141.935/(10^9)</f>
        <v>111.00681014193499</v>
      </c>
      <c r="C116" s="13">
        <f>53209197882.8472/(10^9)</f>
        <v>53.209197882847199</v>
      </c>
      <c r="D116" s="13">
        <f>15991778048.3852/(10^9)</f>
        <v>15.9917780483852</v>
      </c>
      <c r="E116" s="13">
        <f>20541641497.2712/(10^9)</f>
        <v>20.541641497271197</v>
      </c>
      <c r="F116" s="13">
        <f>2847198948.45766/(10^9)</f>
        <v>2.8471989484576601</v>
      </c>
      <c r="G116" s="13">
        <f>183054985021.625/(10^9)</f>
        <v>183.05498502162499</v>
      </c>
      <c r="H116" s="34">
        <f t="shared" si="6"/>
        <v>17.538149136442229</v>
      </c>
      <c r="I116" s="13">
        <f>187604848470.511/(10^9)</f>
        <v>187.60484847051097</v>
      </c>
      <c r="J116" s="34">
        <f t="shared" si="5"/>
        <v>15.963060842821331</v>
      </c>
      <c r="K116" s="34">
        <f t="shared" si="5"/>
        <v>22.208897516515425</v>
      </c>
      <c r="L116" s="34">
        <f t="shared" si="4"/>
        <v>15.65043478101753</v>
      </c>
      <c r="M116" s="34">
        <f t="shared" si="4"/>
        <v>15.340851180865855</v>
      </c>
      <c r="N116" s="34">
        <f t="shared" si="4"/>
        <v>7.5359212925196539</v>
      </c>
      <c r="O116" s="42">
        <f t="shared" si="7"/>
        <v>17.456569755058936</v>
      </c>
      <c r="P116" s="38">
        <v>0</v>
      </c>
      <c r="Q116" s="38">
        <v>0</v>
      </c>
    </row>
    <row r="117" spans="1:17" x14ac:dyDescent="0.25">
      <c r="A117" s="14">
        <v>39539</v>
      </c>
      <c r="B117" s="13">
        <f>111269217478.391/(10^9)</f>
        <v>111.26921747839101</v>
      </c>
      <c r="C117" s="13">
        <f>53802614864.2975/(10^9)</f>
        <v>53.802614864297503</v>
      </c>
      <c r="D117" s="13">
        <f>16054867586.1142/(10^9)</f>
        <v>16.054867586114202</v>
      </c>
      <c r="E117" s="13">
        <f>20798504504.5385/(10^9)</f>
        <v>20.798504504538503</v>
      </c>
      <c r="F117" s="13">
        <f>2917427528.73285/(10^9)</f>
        <v>2.9174275287328499</v>
      </c>
      <c r="G117" s="13">
        <f>184044127457.536/(10^9)</f>
        <v>184.04412745753601</v>
      </c>
      <c r="H117" s="34">
        <f t="shared" si="6"/>
        <v>16.5969059272274</v>
      </c>
      <c r="I117" s="13">
        <f>188787764375.96/(10^9)</f>
        <v>188.78776437595999</v>
      </c>
      <c r="J117" s="34">
        <f t="shared" si="5"/>
        <v>15.652140562602114</v>
      </c>
      <c r="K117" s="34">
        <f t="shared" si="5"/>
        <v>19.927003059761606</v>
      </c>
      <c r="L117" s="34">
        <f t="shared" si="4"/>
        <v>13.900581964549819</v>
      </c>
      <c r="M117" s="34">
        <f t="shared" si="4"/>
        <v>15.656551320505695</v>
      </c>
      <c r="N117" s="34">
        <f t="shared" si="4"/>
        <v>8.9434818829022831</v>
      </c>
      <c r="O117" s="42">
        <f t="shared" si="7"/>
        <v>16.727340331638231</v>
      </c>
      <c r="P117" s="38">
        <v>0</v>
      </c>
      <c r="Q117" s="38">
        <v>0</v>
      </c>
    </row>
    <row r="118" spans="1:17" x14ac:dyDescent="0.25">
      <c r="A118" s="14">
        <v>39569</v>
      </c>
      <c r="B118" s="13">
        <f>112307253343.44/(10^9)</f>
        <v>112.30725334344</v>
      </c>
      <c r="C118" s="13">
        <f>54389072233.5635/(10^9)</f>
        <v>54.389072233563496</v>
      </c>
      <c r="D118" s="13">
        <f>15887745081.7329/(10^9)</f>
        <v>15.8877450817329</v>
      </c>
      <c r="E118" s="13">
        <f>21061694654.4236/(10^9)</f>
        <v>21.061694654423601</v>
      </c>
      <c r="F118" s="13">
        <f>2984767117.29226/(10^9)</f>
        <v>2.9847671172922601</v>
      </c>
      <c r="G118" s="13">
        <f>185568837776.028/(10^9)</f>
        <v>185.568837776028</v>
      </c>
      <c r="H118" s="34">
        <f t="shared" si="6"/>
        <v>14.600786377604692</v>
      </c>
      <c r="I118" s="13">
        <f>190742787348.719/(10^9)</f>
        <v>190.74278734871899</v>
      </c>
      <c r="J118" s="34">
        <f t="shared" si="5"/>
        <v>13.626821273876089</v>
      </c>
      <c r="K118" s="34">
        <f t="shared" si="5"/>
        <v>18.685717317274953</v>
      </c>
      <c r="L118" s="34">
        <f t="shared" si="4"/>
        <v>9.044074997564767</v>
      </c>
      <c r="M118" s="34">
        <f t="shared" si="4"/>
        <v>14.672314225982896</v>
      </c>
      <c r="N118" s="34">
        <f t="shared" si="4"/>
        <v>10.896607002795866</v>
      </c>
      <c r="O118" s="42">
        <f t="shared" si="7"/>
        <v>15.097247759386967</v>
      </c>
      <c r="P118" s="38">
        <v>0</v>
      </c>
      <c r="Q118" s="38">
        <v>0</v>
      </c>
    </row>
    <row r="119" spans="1:17" x14ac:dyDescent="0.25">
      <c r="A119" s="14">
        <v>39600</v>
      </c>
      <c r="B119" s="13">
        <f>115759077775.957/(10^9)</f>
        <v>115.759077775957</v>
      </c>
      <c r="C119" s="13">
        <f>54447128995.6212/(10^9)</f>
        <v>54.447128995621199</v>
      </c>
      <c r="D119" s="13">
        <f>16237946681.9585/(10^9)</f>
        <v>16.237946681958501</v>
      </c>
      <c r="E119" s="13">
        <f>21325311302.983/(10^9)</f>
        <v>21.325311302983003</v>
      </c>
      <c r="F119" s="13">
        <f>3105816528.0355/(10^9)</f>
        <v>3.1058165280355001</v>
      </c>
      <c r="G119" s="13">
        <f>189549969981.572/(10^9)</f>
        <v>189.54996998157199</v>
      </c>
      <c r="H119" s="34">
        <f t="shared" si="6"/>
        <v>15.137723670473191</v>
      </c>
      <c r="I119" s="13">
        <f>194637334602.597/(10^9)</f>
        <v>194.63733460259698</v>
      </c>
      <c r="J119" s="34">
        <f t="shared" si="5"/>
        <v>15.063197922736492</v>
      </c>
      <c r="K119" s="34">
        <f t="shared" si="5"/>
        <v>16.196285769767215</v>
      </c>
      <c r="L119" s="34">
        <f t="shared" si="4"/>
        <v>12.27713159946784</v>
      </c>
      <c r="M119" s="34">
        <f t="shared" si="4"/>
        <v>14.287511115939688</v>
      </c>
      <c r="N119" s="34">
        <f t="shared" si="4"/>
        <v>14.866492450426749</v>
      </c>
      <c r="O119" s="42">
        <f t="shared" si="7"/>
        <v>15.288805699579267</v>
      </c>
      <c r="P119" s="38">
        <v>0</v>
      </c>
      <c r="Q119" s="38">
        <v>0</v>
      </c>
    </row>
    <row r="120" spans="1:17" x14ac:dyDescent="0.25">
      <c r="A120" s="14">
        <v>39630</v>
      </c>
      <c r="B120" s="13">
        <f>116555757274.349/(10^9)</f>
        <v>116.55575727434901</v>
      </c>
      <c r="C120" s="13">
        <f>54998009516.0049/(10^9)</f>
        <v>54.998009516004899</v>
      </c>
      <c r="D120" s="13">
        <f>16629118800.2264/(10^9)</f>
        <v>16.629118800226401</v>
      </c>
      <c r="E120" s="13">
        <f>21610458865.8705/(10^9)</f>
        <v>21.610458865870498</v>
      </c>
      <c r="F120" s="13">
        <f>3178893306.95155/(10^9)</f>
        <v>3.1788933069515499</v>
      </c>
      <c r="G120" s="13">
        <f>191361778897.532/(10^9)</f>
        <v>191.36177889753202</v>
      </c>
      <c r="H120" s="34">
        <f t="shared" si="6"/>
        <v>14.389202244981325</v>
      </c>
      <c r="I120" s="13">
        <f>196343118963.176/(10^9)</f>
        <v>196.34311896317598</v>
      </c>
      <c r="J120" s="34">
        <f t="shared" si="5"/>
        <v>13.78044854335403</v>
      </c>
      <c r="K120" s="34">
        <f t="shared" si="5"/>
        <v>14.85018898218058</v>
      </c>
      <c r="L120" s="34">
        <f t="shared" si="4"/>
        <v>16.727850931383735</v>
      </c>
      <c r="M120" s="34">
        <f t="shared" si="4"/>
        <v>14.867877373007964</v>
      </c>
      <c r="N120" s="34">
        <f t="shared" si="4"/>
        <v>16.952964352808753</v>
      </c>
      <c r="O120" s="42">
        <f t="shared" si="7"/>
        <v>14.247741532657043</v>
      </c>
      <c r="P120" s="38">
        <v>0</v>
      </c>
      <c r="Q120" s="38">
        <v>0</v>
      </c>
    </row>
    <row r="121" spans="1:17" x14ac:dyDescent="0.25">
      <c r="A121" s="14">
        <v>39661</v>
      </c>
      <c r="B121" s="13">
        <f>118449068391.777/(10^9)</f>
        <v>118.44906839177699</v>
      </c>
      <c r="C121" s="13">
        <f>55363082546.1834/(10^9)</f>
        <v>55.363082546183406</v>
      </c>
      <c r="D121" s="13">
        <f>16398929983.338/(10^9)</f>
        <v>16.398929983338</v>
      </c>
      <c r="E121" s="13">
        <f>21826781083.6928/(10^9)</f>
        <v>21.826781083692797</v>
      </c>
      <c r="F121" s="13">
        <f>3248631700.41824/(10^9)</f>
        <v>3.2486317004182399</v>
      </c>
      <c r="G121" s="13">
        <f>193459712621.717/(10^9)</f>
        <v>193.45971262171702</v>
      </c>
      <c r="H121" s="34">
        <f t="shared" si="6"/>
        <v>13.518495566238675</v>
      </c>
      <c r="I121" s="13">
        <f>198887563722.071/(10^9)</f>
        <v>198.88756372207101</v>
      </c>
      <c r="J121" s="34">
        <f t="shared" si="5"/>
        <v>13.492447720562662</v>
      </c>
      <c r="K121" s="34">
        <f t="shared" si="5"/>
        <v>13.527398480710694</v>
      </c>
      <c r="L121" s="34">
        <f t="shared" si="4"/>
        <v>12.608296744606973</v>
      </c>
      <c r="M121" s="34">
        <f t="shared" si="4"/>
        <v>15.124531105296924</v>
      </c>
      <c r="N121" s="34">
        <f t="shared" si="4"/>
        <v>19.221301079304041</v>
      </c>
      <c r="O121" s="42">
        <f t="shared" si="7"/>
        <v>13.76849488031613</v>
      </c>
      <c r="P121" s="38">
        <v>0</v>
      </c>
      <c r="Q121" s="38">
        <v>0</v>
      </c>
    </row>
    <row r="122" spans="1:17" x14ac:dyDescent="0.25">
      <c r="A122" s="14">
        <v>39692</v>
      </c>
      <c r="B122" s="13">
        <f>121460727329.941/(10^9)</f>
        <v>121.46072732994099</v>
      </c>
      <c r="C122" s="13">
        <f>55788444758.2619/(10^9)</f>
        <v>55.788444758261903</v>
      </c>
      <c r="D122" s="13">
        <f>16726583147.2091/(10^9)</f>
        <v>16.726583147209102</v>
      </c>
      <c r="E122" s="13">
        <f>22040429328.4847/(10^9)</f>
        <v>22.040429328484699</v>
      </c>
      <c r="F122" s="13">
        <f>3333354956.64234/(10^9)</f>
        <v>3.3333549566423404</v>
      </c>
      <c r="G122" s="13">
        <f>197309110192.054/(10^9)</f>
        <v>197.30911019205399</v>
      </c>
      <c r="H122" s="34">
        <f t="shared" si="6"/>
        <v>13.25370745307357</v>
      </c>
      <c r="I122" s="13">
        <f>202622956373.33/(10^9)</f>
        <v>202.62295637333</v>
      </c>
      <c r="J122" s="34">
        <f t="shared" si="5"/>
        <v>13.729010397668917</v>
      </c>
      <c r="K122" s="34">
        <f t="shared" si="5"/>
        <v>12.210145080150102</v>
      </c>
      <c r="L122" s="34">
        <f t="shared" si="4"/>
        <v>12.060045466780721</v>
      </c>
      <c r="M122" s="34">
        <f t="shared" si="4"/>
        <v>14.695539403895651</v>
      </c>
      <c r="N122" s="34">
        <f t="shared" si="4"/>
        <v>20.076101192761818</v>
      </c>
      <c r="O122" s="42">
        <f t="shared" si="7"/>
        <v>13.508731706746513</v>
      </c>
      <c r="P122" s="38">
        <v>0</v>
      </c>
      <c r="Q122" s="38">
        <v>0</v>
      </c>
    </row>
    <row r="123" spans="1:17" x14ac:dyDescent="0.25">
      <c r="A123" s="14">
        <v>39722</v>
      </c>
      <c r="B123" s="13">
        <f>124949400059.604/(10^9)</f>
        <v>124.949400059604</v>
      </c>
      <c r="C123" s="13">
        <f>56308499706.9866/(10^9)</f>
        <v>56.308499706986602</v>
      </c>
      <c r="D123" s="13">
        <f>17036773397.0225/(10^9)</f>
        <v>17.0367733970225</v>
      </c>
      <c r="E123" s="13">
        <f>22226478028.7628/(10^9)</f>
        <v>22.226478028762799</v>
      </c>
      <c r="F123" s="13">
        <f>3379569353.22567/(10^9)</f>
        <v>3.3795693532256696</v>
      </c>
      <c r="G123" s="13">
        <f>201674242516.839/(10^9)</f>
        <v>201.674242516839</v>
      </c>
      <c r="H123" s="34">
        <f t="shared" si="6"/>
        <v>13.169803357510258</v>
      </c>
      <c r="I123" s="13">
        <f>206863947148.579/(10^9)</f>
        <v>206.863947148579</v>
      </c>
      <c r="J123" s="34">
        <f t="shared" si="5"/>
        <v>15.744382728584426</v>
      </c>
      <c r="K123" s="34">
        <f t="shared" si="5"/>
        <v>8.8675119516638201</v>
      </c>
      <c r="L123" s="34">
        <f t="shared" si="4"/>
        <v>8.485625399160579</v>
      </c>
      <c r="M123" s="34">
        <f t="shared" si="4"/>
        <v>11.860413891994215</v>
      </c>
      <c r="N123" s="34">
        <f t="shared" si="4"/>
        <v>19.592969033223341</v>
      </c>
      <c r="O123" s="42">
        <f t="shared" si="7"/>
        <v>13.430502121240263</v>
      </c>
      <c r="P123" s="38">
        <v>0</v>
      </c>
      <c r="Q123" s="38">
        <v>0</v>
      </c>
    </row>
    <row r="124" spans="1:17" x14ac:dyDescent="0.25">
      <c r="A124" s="14">
        <v>39753</v>
      </c>
      <c r="B124" s="13">
        <f>127215633462.839/(10^9)</f>
        <v>127.21563346283901</v>
      </c>
      <c r="C124" s="13">
        <f>56492957725.9687/(10^9)</f>
        <v>56.492957725968694</v>
      </c>
      <c r="D124" s="13">
        <f>16962667055.1798/(10^9)</f>
        <v>16.9626670551798</v>
      </c>
      <c r="E124" s="13">
        <f>22388127816.2544/(10^9)</f>
        <v>22.3881278162544</v>
      </c>
      <c r="F124" s="13">
        <f>3868003015.48331/(10^9)</f>
        <v>3.86800301548331</v>
      </c>
      <c r="G124" s="13">
        <f>204539261259.471/(10^9)</f>
        <v>204.539261259471</v>
      </c>
      <c r="H124" s="34">
        <f t="shared" si="6"/>
        <v>12.719443384997952</v>
      </c>
      <c r="I124" s="13">
        <f>209964722020.545/(10^9)</f>
        <v>209.96472202054503</v>
      </c>
      <c r="J124" s="34">
        <f t="shared" si="5"/>
        <v>14.852442855812665</v>
      </c>
      <c r="K124" s="34">
        <f t="shared" si="5"/>
        <v>8.0564038565551499</v>
      </c>
      <c r="L124" s="34">
        <f t="shared" si="4"/>
        <v>9.0357996436276622</v>
      </c>
      <c r="M124" s="34">
        <f t="shared" si="4"/>
        <v>11.563043577757682</v>
      </c>
      <c r="N124" s="34">
        <f t="shared" si="4"/>
        <v>35.417729031949129</v>
      </c>
      <c r="O124" s="42">
        <f t="shared" si="7"/>
        <v>12.902807172966501</v>
      </c>
      <c r="P124" s="38">
        <v>0</v>
      </c>
      <c r="Q124" s="38">
        <v>0</v>
      </c>
    </row>
    <row r="125" spans="1:17" x14ac:dyDescent="0.25">
      <c r="A125" s="14">
        <v>39783</v>
      </c>
      <c r="B125" s="13">
        <f>126140641229.116/(10^9)</f>
        <v>126.140641229116</v>
      </c>
      <c r="C125" s="13">
        <f>56461635656.4665/(10^9)</f>
        <v>56.461635656466498</v>
      </c>
      <c r="D125" s="13">
        <f>16634544732.118/(10^9)</f>
        <v>16.634544732118002</v>
      </c>
      <c r="E125" s="13">
        <f>22496109935.5093/(10^9)</f>
        <v>22.496109935509299</v>
      </c>
      <c r="F125" s="13">
        <f>4247477564.98967/(10^9)</f>
        <v>4.2474775649896701</v>
      </c>
      <c r="G125" s="13">
        <f>203484299182.69/(10^9)</f>
        <v>203.48429918268999</v>
      </c>
      <c r="H125" s="34">
        <f t="shared" si="6"/>
        <v>11.946500717957708</v>
      </c>
      <c r="I125" s="13">
        <f>209345864386.081/(10^9)</f>
        <v>209.34586438608099</v>
      </c>
      <c r="J125" s="34">
        <f t="shared" si="5"/>
        <v>14.071289287180267</v>
      </c>
      <c r="K125" s="34">
        <f t="shared" si="5"/>
        <v>6.6558159255954763</v>
      </c>
      <c r="L125" s="34">
        <f t="shared" si="4"/>
        <v>8.1138530796159181</v>
      </c>
      <c r="M125" s="34">
        <f t="shared" si="4"/>
        <v>11.108726038959361</v>
      </c>
      <c r="N125" s="34">
        <f t="shared" si="4"/>
        <v>48.285231199296085</v>
      </c>
      <c r="O125" s="42">
        <f t="shared" si="7"/>
        <v>12.171583839405242</v>
      </c>
      <c r="P125" s="38">
        <v>0</v>
      </c>
      <c r="Q125" s="38">
        <v>0</v>
      </c>
    </row>
    <row r="126" spans="1:17" x14ac:dyDescent="0.25">
      <c r="A126" s="14">
        <v>39814</v>
      </c>
      <c r="B126" s="13">
        <f>125609793184.386/(10^9)</f>
        <v>125.60979318438601</v>
      </c>
      <c r="C126" s="13">
        <f>55920932516.0327/(10^9)</f>
        <v>55.9209325160327</v>
      </c>
      <c r="D126" s="13">
        <f>16810169731.6686/(10^9)</f>
        <v>16.810169731668601</v>
      </c>
      <c r="E126" s="13">
        <f>22554470410.7305/(10^9)</f>
        <v>22.554470410730499</v>
      </c>
      <c r="F126" s="13">
        <f>4296858894.55137/(10^9)</f>
        <v>4.2968588945513693</v>
      </c>
      <c r="G126" s="13">
        <f>202637754326.639/(10^9)</f>
        <v>202.637754326639</v>
      </c>
      <c r="H126" s="34">
        <f t="shared" si="6"/>
        <v>11.829358638744925</v>
      </c>
      <c r="I126" s="13">
        <f>208382055005.701/(10^9)</f>
        <v>208.38205500570098</v>
      </c>
      <c r="J126" s="34">
        <f t="shared" si="5"/>
        <v>14.42053480064709</v>
      </c>
      <c r="K126" s="34">
        <f t="shared" si="5"/>
        <v>5.4691131203282506</v>
      </c>
      <c r="L126" s="34">
        <f t="shared" si="4"/>
        <v>8.0553577107653105</v>
      </c>
      <c r="M126" s="34">
        <f t="shared" si="4"/>
        <v>11.083856897525223</v>
      </c>
      <c r="N126" s="34">
        <f t="shared" si="4"/>
        <v>51.008865765994486</v>
      </c>
      <c r="O126" s="42">
        <f t="shared" si="7"/>
        <v>12.063698711543026</v>
      </c>
      <c r="P126" s="38">
        <v>0</v>
      </c>
      <c r="Q126" s="38">
        <v>0</v>
      </c>
    </row>
    <row r="127" spans="1:17" x14ac:dyDescent="0.25">
      <c r="A127" s="14">
        <v>39845</v>
      </c>
      <c r="B127" s="13">
        <f>124859037186.996/(10^9)</f>
        <v>124.85903718699601</v>
      </c>
      <c r="C127" s="13">
        <f>55155671860.8752/(10^9)</f>
        <v>55.155671860875195</v>
      </c>
      <c r="D127" s="13">
        <f>16942981835.5962/(10^9)</f>
        <v>16.9429818355962</v>
      </c>
      <c r="E127" s="13">
        <f>22543624789.2902/(10^9)</f>
        <v>22.543624789290199</v>
      </c>
      <c r="F127" s="13">
        <f>4366396177.84378/(10^9)</f>
        <v>4.3663961778437796</v>
      </c>
      <c r="G127" s="13">
        <f>201324087061.312/(10^9)</f>
        <v>201.32408706131201</v>
      </c>
      <c r="H127" s="34">
        <f t="shared" si="6"/>
        <v>10.495054030154005</v>
      </c>
      <c r="I127" s="13">
        <f>206924730015.006/(10^9)</f>
        <v>206.92473001500602</v>
      </c>
      <c r="J127" s="34">
        <f t="shared" si="5"/>
        <v>13.069265447619017</v>
      </c>
      <c r="K127" s="34">
        <f t="shared" si="5"/>
        <v>3.8615617965260807</v>
      </c>
      <c r="L127" s="34">
        <f t="shared" si="4"/>
        <v>7.098954214669484</v>
      </c>
      <c r="M127" s="34">
        <f t="shared" si="4"/>
        <v>10.179793712957608</v>
      </c>
      <c r="N127" s="34">
        <f t="shared" si="4"/>
        <v>53.20997697156411</v>
      </c>
      <c r="O127" s="42">
        <f t="shared" si="7"/>
        <v>10.748077536426969</v>
      </c>
      <c r="P127" s="38">
        <v>0</v>
      </c>
      <c r="Q127" s="38">
        <v>0</v>
      </c>
    </row>
    <row r="128" spans="1:17" x14ac:dyDescent="0.25">
      <c r="A128" s="14">
        <v>39873</v>
      </c>
      <c r="B128" s="13">
        <f>124325239023.626/(10^9)</f>
        <v>124.32523902362601</v>
      </c>
      <c r="C128" s="13">
        <f>54488209660.6882/(10^9)</f>
        <v>54.488209660688199</v>
      </c>
      <c r="D128" s="13">
        <f>16442063762.6099/(10^9)</f>
        <v>16.442063762609898</v>
      </c>
      <c r="E128" s="13">
        <f>22569618053.0899/(10^9)</f>
        <v>22.569618053089901</v>
      </c>
      <c r="F128" s="13">
        <f>4440882726.25302/(10^9)</f>
        <v>4.4408827262530206</v>
      </c>
      <c r="G128" s="13">
        <f>199696395173.177/(10^9)</f>
        <v>199.696395173177</v>
      </c>
      <c r="H128" s="34">
        <f t="shared" si="6"/>
        <v>9.090935245268561</v>
      </c>
      <c r="I128" s="13">
        <f>205823949463.657/(10^9)</f>
        <v>205.82394946365702</v>
      </c>
      <c r="J128" s="34">
        <f t="shared" si="5"/>
        <v>11.997848478540973</v>
      </c>
      <c r="K128" s="34">
        <f t="shared" si="5"/>
        <v>2.4037418881168726</v>
      </c>
      <c r="L128" s="34">
        <f t="shared" si="4"/>
        <v>2.8157326399997462</v>
      </c>
      <c r="M128" s="34">
        <f t="shared" si="4"/>
        <v>9.8725145996151564</v>
      </c>
      <c r="N128" s="34">
        <f t="shared" si="4"/>
        <v>55.973741443627098</v>
      </c>
      <c r="O128" s="42">
        <f t="shared" si="7"/>
        <v>9.7114233143126061</v>
      </c>
      <c r="P128" s="38">
        <v>0</v>
      </c>
      <c r="Q128" s="38">
        <v>0</v>
      </c>
    </row>
    <row r="129" spans="1:17" x14ac:dyDescent="0.25">
      <c r="A129" s="14">
        <v>39904</v>
      </c>
      <c r="B129" s="13">
        <f>123892196946.28/(10^9)</f>
        <v>123.89219694628</v>
      </c>
      <c r="C129" s="13">
        <f>54114668610.7276/(10^9)</f>
        <v>54.114668610727598</v>
      </c>
      <c r="D129" s="13">
        <f>16709515953.4358/(10^9)</f>
        <v>16.709515953435801</v>
      </c>
      <c r="E129" s="13">
        <f>22727510683.375/(10^9)</f>
        <v>22.727510683375002</v>
      </c>
      <c r="F129" s="13">
        <f>4542661357.88127/(10^9)</f>
        <v>4.5426613578812702</v>
      </c>
      <c r="G129" s="13">
        <f>199259042868.324/(10^9)</f>
        <v>199.259042868324</v>
      </c>
      <c r="H129" s="34">
        <f t="shared" si="6"/>
        <v>8.2669931504869574</v>
      </c>
      <c r="I129" s="13">
        <f>205277037598.264/(10^9)</f>
        <v>205.277037598264</v>
      </c>
      <c r="J129" s="34">
        <f t="shared" si="5"/>
        <v>11.34453872684098</v>
      </c>
      <c r="K129" s="34">
        <f t="shared" si="5"/>
        <v>0.57999736112670508</v>
      </c>
      <c r="L129" s="34">
        <f t="shared" si="4"/>
        <v>4.0775693963854387</v>
      </c>
      <c r="M129" s="34">
        <f t="shared" si="4"/>
        <v>9.274735009988655</v>
      </c>
      <c r="N129" s="34">
        <f t="shared" si="4"/>
        <v>55.707770395048037</v>
      </c>
      <c r="O129" s="42">
        <f t="shared" si="7"/>
        <v>8.7342912697808917</v>
      </c>
      <c r="P129" s="38">
        <v>0</v>
      </c>
      <c r="Q129" s="38">
        <v>0</v>
      </c>
    </row>
    <row r="130" spans="1:17" x14ac:dyDescent="0.25">
      <c r="A130" s="14">
        <v>39934</v>
      </c>
      <c r="B130" s="13">
        <f>126971410500.002/(10^9)</f>
        <v>126.97141050000199</v>
      </c>
      <c r="C130" s="13">
        <f>53959135387.957/(10^9)</f>
        <v>53.959135387956998</v>
      </c>
      <c r="D130" s="13">
        <f>16427975405.9542/(10^9)</f>
        <v>16.4279754059542</v>
      </c>
      <c r="E130" s="13">
        <f>22922058658.0808/(10^9)</f>
        <v>22.9220586580808</v>
      </c>
      <c r="F130" s="13">
        <f>4641862348.236/(10^9)</f>
        <v>4.6418623482359997</v>
      </c>
      <c r="G130" s="13">
        <f>202000383642.149/(10^9)</f>
        <v>202.00038364214899</v>
      </c>
      <c r="H130" s="34">
        <f t="shared" si="6"/>
        <v>8.8546902933956062</v>
      </c>
      <c r="I130" s="13">
        <f>208494466894.275/(10^9)</f>
        <v>208.49446689427501</v>
      </c>
      <c r="J130" s="34">
        <f t="shared" si="5"/>
        <v>13.057177270392707</v>
      </c>
      <c r="K130" s="34">
        <f t="shared" si="5"/>
        <v>-0.79048387470228576</v>
      </c>
      <c r="L130" s="34">
        <f t="shared" si="4"/>
        <v>3.4002957716286364</v>
      </c>
      <c r="M130" s="34">
        <f t="shared" si="4"/>
        <v>8.8329264771031433</v>
      </c>
      <c r="N130" s="34">
        <f t="shared" si="4"/>
        <v>55.51840950482709</v>
      </c>
      <c r="O130" s="42">
        <f t="shared" si="7"/>
        <v>9.3066059232437048</v>
      </c>
      <c r="P130" s="38">
        <v>0</v>
      </c>
      <c r="Q130" s="38">
        <v>0</v>
      </c>
    </row>
    <row r="131" spans="1:17" x14ac:dyDescent="0.25">
      <c r="A131" s="14">
        <v>39965</v>
      </c>
      <c r="B131" s="13">
        <f>127063779526.656/(10^9)</f>
        <v>127.06377952665601</v>
      </c>
      <c r="C131" s="13">
        <f>53880630683.345/(10^9)</f>
        <v>53.880630683345004</v>
      </c>
      <c r="D131" s="13">
        <f>16646264601.5405/(10^9)</f>
        <v>16.646264601540501</v>
      </c>
      <c r="E131" s="13">
        <f>23010070534.4703/(10^9)</f>
        <v>23.010070534470298</v>
      </c>
      <c r="F131" s="13">
        <f>4723919634.12174/(10^9)</f>
        <v>4.7239196341217404</v>
      </c>
      <c r="G131" s="13">
        <f>202314594445.663/(10^9)</f>
        <v>202.314594445663</v>
      </c>
      <c r="H131" s="34">
        <f t="shared" si="6"/>
        <v>6.7341738251564864</v>
      </c>
      <c r="I131" s="13">
        <f>208678400378.593/(10^9)</f>
        <v>208.67840037859298</v>
      </c>
      <c r="J131" s="34">
        <f t="shared" si="5"/>
        <v>9.7657151109811213</v>
      </c>
      <c r="K131" s="34">
        <f t="shared" si="5"/>
        <v>-1.0404558012999221</v>
      </c>
      <c r="L131" s="34">
        <f t="shared" si="4"/>
        <v>2.5145908382349313</v>
      </c>
      <c r="M131" s="34">
        <f t="shared" si="4"/>
        <v>7.9002796608724335</v>
      </c>
      <c r="N131" s="34">
        <f t="shared" si="4"/>
        <v>52.099120842457737</v>
      </c>
      <c r="O131" s="42">
        <f t="shared" si="7"/>
        <v>7.2139632433132705</v>
      </c>
      <c r="P131" s="38">
        <v>0</v>
      </c>
      <c r="Q131" s="38">
        <v>0</v>
      </c>
    </row>
    <row r="132" spans="1:17" x14ac:dyDescent="0.25">
      <c r="A132" s="14">
        <v>39995</v>
      </c>
      <c r="B132" s="13">
        <f>126008446542.795/(10^9)</f>
        <v>126.008446542795</v>
      </c>
      <c r="C132" s="13">
        <f>53911047285.7712/(10^9)</f>
        <v>53.911047285771204</v>
      </c>
      <c r="D132" s="13">
        <f>17016300466.2634/(10^9)</f>
        <v>17.016300466263399</v>
      </c>
      <c r="E132" s="13">
        <f>23234038942.52/(10^9)</f>
        <v>23.234038942520002</v>
      </c>
      <c r="F132" s="13">
        <f>4813858331.35979/(10^9)</f>
        <v>4.81385833135979</v>
      </c>
      <c r="G132" s="13">
        <f>201749652626.189/(10^9)</f>
        <v>201.749652626189</v>
      </c>
      <c r="H132" s="34">
        <f t="shared" si="6"/>
        <v>5.4283952566198446</v>
      </c>
      <c r="I132" s="13">
        <f>207967391102.446/(10^9)</f>
        <v>207.96739110244602</v>
      </c>
      <c r="J132" s="34">
        <f t="shared" si="5"/>
        <v>8.1100148885792542</v>
      </c>
      <c r="K132" s="34">
        <f t="shared" si="5"/>
        <v>-1.9763664899861144</v>
      </c>
      <c r="L132" s="34">
        <f t="shared" si="4"/>
        <v>2.328335437905027</v>
      </c>
      <c r="M132" s="34">
        <f t="shared" si="4"/>
        <v>7.5129366142874021</v>
      </c>
      <c r="N132" s="34">
        <f t="shared" si="4"/>
        <v>51.431893635213434</v>
      </c>
      <c r="O132" s="42">
        <f t="shared" si="7"/>
        <v>5.9203868211190835</v>
      </c>
      <c r="P132" s="38">
        <v>0</v>
      </c>
      <c r="Q132" s="38">
        <v>0</v>
      </c>
    </row>
    <row r="133" spans="1:17" x14ac:dyDescent="0.25">
      <c r="A133" s="14">
        <v>40026</v>
      </c>
      <c r="B133" s="13">
        <f>123485377782.723/(10^9)</f>
        <v>123.48537778272301</v>
      </c>
      <c r="C133" s="13">
        <f>54030719206.6836/(10^9)</f>
        <v>54.0307192066836</v>
      </c>
      <c r="D133" s="13">
        <f>16857291140.5289/(10^9)</f>
        <v>16.857291140528901</v>
      </c>
      <c r="E133" s="13">
        <f>23444930261.6315/(10^9)</f>
        <v>23.444930261631502</v>
      </c>
      <c r="F133" s="13">
        <f>4905450278.51644/(10^9)</f>
        <v>4.9054502785164402</v>
      </c>
      <c r="G133" s="13">
        <f>199278838408.452/(10^9)</f>
        <v>199.278838408452</v>
      </c>
      <c r="H133" s="34">
        <f t="shared" si="6"/>
        <v>3.0079264090056013</v>
      </c>
      <c r="I133" s="13">
        <f>205866477529.555/(10^9)</f>
        <v>205.866477529555</v>
      </c>
      <c r="J133" s="34">
        <f t="shared" si="5"/>
        <v>4.2518775869879732</v>
      </c>
      <c r="K133" s="34">
        <f t="shared" si="5"/>
        <v>-2.4065916820804945</v>
      </c>
      <c r="L133" s="34">
        <f t="shared" si="4"/>
        <v>2.7950674687715171</v>
      </c>
      <c r="M133" s="34">
        <f t="shared" si="4"/>
        <v>7.4135951230465791</v>
      </c>
      <c r="N133" s="34">
        <f t="shared" si="4"/>
        <v>51.000505162985888</v>
      </c>
      <c r="O133" s="42">
        <f t="shared" si="7"/>
        <v>3.5089744561587866</v>
      </c>
      <c r="P133" s="38">
        <v>0</v>
      </c>
      <c r="Q133" s="38">
        <v>0</v>
      </c>
    </row>
    <row r="134" spans="1:17" x14ac:dyDescent="0.25">
      <c r="A134" s="14">
        <v>40057</v>
      </c>
      <c r="B134" s="13">
        <f>122811883674.058/(10^9)</f>
        <v>122.811883674058</v>
      </c>
      <c r="C134" s="13">
        <f>54163935418.137/(10^9)</f>
        <v>54.163935418137001</v>
      </c>
      <c r="D134" s="13">
        <f>17332893148.3435/(10^9)</f>
        <v>17.332893148343498</v>
      </c>
      <c r="E134" s="13">
        <f>23778970213.0888/(10^9)</f>
        <v>23.778970213088797</v>
      </c>
      <c r="F134" s="13">
        <f>4993468942.25924/(10^9)</f>
        <v>4.9934689422592404</v>
      </c>
      <c r="G134" s="13">
        <f>199302181182.797/(10^9)</f>
        <v>199.302181182797</v>
      </c>
      <c r="H134" s="34">
        <f t="shared" si="6"/>
        <v>1.0101261866737987</v>
      </c>
      <c r="I134" s="13">
        <f>205748258247.543/(10^9)</f>
        <v>205.74825824754299</v>
      </c>
      <c r="J134" s="34">
        <f t="shared" si="5"/>
        <v>1.1124224050187648</v>
      </c>
      <c r="K134" s="34">
        <f t="shared" si="5"/>
        <v>-2.9119100687679977</v>
      </c>
      <c r="L134" s="34">
        <f t="shared" si="4"/>
        <v>3.6248287877943541</v>
      </c>
      <c r="M134" s="34">
        <f t="shared" si="4"/>
        <v>7.8879628826342252</v>
      </c>
      <c r="N134" s="34">
        <f t="shared" si="4"/>
        <v>49.803096496183485</v>
      </c>
      <c r="O134" s="42">
        <f t="shared" si="7"/>
        <v>1.5424224037352774</v>
      </c>
      <c r="P134" s="38">
        <v>0</v>
      </c>
      <c r="Q134" s="38">
        <v>0</v>
      </c>
    </row>
    <row r="135" spans="1:17" x14ac:dyDescent="0.25">
      <c r="A135" s="14">
        <v>40087</v>
      </c>
      <c r="B135" s="13">
        <f>122978885502.886/(10^9)</f>
        <v>122.978885502886</v>
      </c>
      <c r="C135" s="13">
        <f>54539007539.8552/(10^9)</f>
        <v>54.539007539855199</v>
      </c>
      <c r="D135" s="13">
        <f>17826469726.644/(10^9)</f>
        <v>17.826469726644</v>
      </c>
      <c r="E135" s="13">
        <f>24140159261.2459/(10^9)</f>
        <v>24.140159261245898</v>
      </c>
      <c r="F135" s="13">
        <f>5095014903.93156/(10^9)</f>
        <v>5.0950149039315598</v>
      </c>
      <c r="G135" s="13">
        <f>200439377673.316/(10^9)</f>
        <v>200.43937767331602</v>
      </c>
      <c r="H135" s="34">
        <f t="shared" si="6"/>
        <v>-0.61230667243977743</v>
      </c>
      <c r="I135" s="13">
        <f>206753067207.918/(10^9)</f>
        <v>206.75306720791801</v>
      </c>
      <c r="J135" s="34">
        <f t="shared" si="5"/>
        <v>-1.5770500344763683</v>
      </c>
      <c r="K135" s="34">
        <f t="shared" si="5"/>
        <v>-3.1424956735472187</v>
      </c>
      <c r="L135" s="34">
        <f t="shared" si="4"/>
        <v>4.6352458368643434</v>
      </c>
      <c r="M135" s="34">
        <f t="shared" si="4"/>
        <v>8.6099166498922806</v>
      </c>
      <c r="N135" s="34">
        <f t="shared" si="4"/>
        <v>50.759294200267348</v>
      </c>
      <c r="O135" s="42">
        <f t="shared" si="7"/>
        <v>-5.3600418144084117E-2</v>
      </c>
      <c r="P135" s="38">
        <v>0</v>
      </c>
      <c r="Q135" s="38">
        <v>0</v>
      </c>
    </row>
    <row r="136" spans="1:17" x14ac:dyDescent="0.25">
      <c r="A136" s="14">
        <v>40118</v>
      </c>
      <c r="B136" s="13">
        <f>122588837910.366/(10^9)</f>
        <v>122.588837910366</v>
      </c>
      <c r="C136" s="13">
        <f>55429710821.8862/(10^9)</f>
        <v>55.429710821886196</v>
      </c>
      <c r="D136" s="13">
        <f>18257901860.3683/(10^9)</f>
        <v>18.2579018603683</v>
      </c>
      <c r="E136" s="13">
        <f>24436894806.6081/(10^9)</f>
        <v>24.436894806608102</v>
      </c>
      <c r="F136" s="13">
        <f>5123457356.79804/(10^9)</f>
        <v>5.1234573567980402</v>
      </c>
      <c r="G136" s="13">
        <f>201399907949.418/(10^9)</f>
        <v>201.39990794941801</v>
      </c>
      <c r="H136" s="34">
        <f t="shared" si="6"/>
        <v>-1.5348414239506503</v>
      </c>
      <c r="I136" s="13">
        <f>207578900895.658/(10^9)</f>
        <v>207.57890089565799</v>
      </c>
      <c r="J136" s="34">
        <f t="shared" si="5"/>
        <v>-3.6369708867774908</v>
      </c>
      <c r="K136" s="34">
        <f t="shared" si="5"/>
        <v>-1.8820875147660066</v>
      </c>
      <c r="L136" s="34">
        <f t="shared" si="4"/>
        <v>7.6357969001872306</v>
      </c>
      <c r="M136" s="34">
        <f t="shared" si="4"/>
        <v>9.151131381634503</v>
      </c>
      <c r="N136" s="34">
        <f t="shared" si="4"/>
        <v>32.457429228706538</v>
      </c>
      <c r="O136" s="42">
        <f t="shared" si="7"/>
        <v>-1.1362961843911945</v>
      </c>
      <c r="P136" s="38">
        <v>0</v>
      </c>
      <c r="Q136" s="38">
        <v>0</v>
      </c>
    </row>
    <row r="137" spans="1:17" x14ac:dyDescent="0.25">
      <c r="A137" s="14">
        <v>40148</v>
      </c>
      <c r="B137" s="13">
        <f>123215611020.416/(10^9)</f>
        <v>123.21561102041601</v>
      </c>
      <c r="C137" s="13">
        <f>55637850659.4826/(10^9)</f>
        <v>55.637850659482595</v>
      </c>
      <c r="D137" s="13">
        <f>18363846034.4604/(10^9)</f>
        <v>18.363846034460401</v>
      </c>
      <c r="E137" s="13">
        <f>24715178549.2614/(10^9)</f>
        <v>24.715178549261399</v>
      </c>
      <c r="F137" s="13">
        <f>5136140781.8823/(10^9)</f>
        <v>5.1361407818823004</v>
      </c>
      <c r="G137" s="13">
        <f>202353448496.241/(10^9)</f>
        <v>202.35344849624099</v>
      </c>
      <c r="H137" s="34">
        <f t="shared" si="6"/>
        <v>-0.55574346079336756</v>
      </c>
      <c r="I137" s="13">
        <f>208704781011.042/(10^9)</f>
        <v>208.704781011042</v>
      </c>
      <c r="J137" s="34">
        <f t="shared" si="5"/>
        <v>-2.3188642297981565</v>
      </c>
      <c r="K137" s="34">
        <f t="shared" si="5"/>
        <v>-1.4590172378216582</v>
      </c>
      <c r="L137" s="34">
        <f t="shared" si="4"/>
        <v>10.395843891077238</v>
      </c>
      <c r="M137" s="34">
        <f t="shared" si="4"/>
        <v>9.864232616721802</v>
      </c>
      <c r="N137" s="34">
        <f t="shared" si="4"/>
        <v>20.92214033612656</v>
      </c>
      <c r="O137" s="42">
        <f t="shared" si="7"/>
        <v>-0.30623168836843018</v>
      </c>
      <c r="P137" s="38">
        <v>0</v>
      </c>
      <c r="Q137" s="38">
        <v>0</v>
      </c>
    </row>
    <row r="138" spans="1:17" x14ac:dyDescent="0.25">
      <c r="A138" s="14">
        <v>40179</v>
      </c>
      <c r="B138" s="13">
        <f>121774922372.684/(10^9)</f>
        <v>121.774922372684</v>
      </c>
      <c r="C138" s="13">
        <f>55518994514.2794/(10^9)</f>
        <v>55.518994514279406</v>
      </c>
      <c r="D138" s="13">
        <f>18601395582.13/(10^9)</f>
        <v>18.601395582129999</v>
      </c>
      <c r="E138" s="13">
        <f>24795805031.8227/(10^9)</f>
        <v>24.795805031822699</v>
      </c>
      <c r="F138" s="13">
        <f>5113547925.20766/(10^9)</f>
        <v>5.1135479252076594</v>
      </c>
      <c r="G138" s="13">
        <f>201008860394.301/(10^9)</f>
        <v>201.008860394301</v>
      </c>
      <c r="H138" s="34">
        <f t="shared" si="6"/>
        <v>-0.80384523493698401</v>
      </c>
      <c r="I138" s="13">
        <f>207203269843.994/(10^9)</f>
        <v>207.20326984399398</v>
      </c>
      <c r="J138" s="34">
        <f t="shared" si="5"/>
        <v>-3.0530030457678548</v>
      </c>
      <c r="K138" s="34">
        <f t="shared" si="5"/>
        <v>-0.71876126464460732</v>
      </c>
      <c r="L138" s="34">
        <f t="shared" si="4"/>
        <v>10.655608355261958</v>
      </c>
      <c r="M138" s="34">
        <f t="shared" si="4"/>
        <v>9.9374296105213098</v>
      </c>
      <c r="N138" s="34">
        <f t="shared" si="4"/>
        <v>19.006652317391492</v>
      </c>
      <c r="O138" s="42">
        <f t="shared" si="7"/>
        <v>-0.5656845843442504</v>
      </c>
      <c r="P138" s="38">
        <v>0</v>
      </c>
      <c r="Q138" s="38">
        <v>0</v>
      </c>
    </row>
    <row r="139" spans="1:17" x14ac:dyDescent="0.25">
      <c r="A139" s="14">
        <v>40210</v>
      </c>
      <c r="B139" s="13">
        <f>121780802046.085/(10^9)</f>
        <v>121.780802046085</v>
      </c>
      <c r="C139" s="13">
        <f>55460671233.9001/(10^9)</f>
        <v>55.460671233900101</v>
      </c>
      <c r="D139" s="13">
        <f>18673248790.1371/(10^9)</f>
        <v>18.673248790137102</v>
      </c>
      <c r="E139" s="13">
        <f>24940870813.4517/(10^9)</f>
        <v>24.940870813451699</v>
      </c>
      <c r="F139" s="13">
        <f>5101710357.2983/(10^9)</f>
        <v>5.1017103572983</v>
      </c>
      <c r="G139" s="13">
        <f>201016432427.421/(10^9)</f>
        <v>201.01643242742099</v>
      </c>
      <c r="H139" s="34">
        <f t="shared" si="6"/>
        <v>-0.15281561107852726</v>
      </c>
      <c r="I139" s="13">
        <f>207284054450.735/(10^9)</f>
        <v>207.284054450735</v>
      </c>
      <c r="J139" s="34">
        <f t="shared" si="5"/>
        <v>-2.4653683147507044</v>
      </c>
      <c r="K139" s="34">
        <f t="shared" si="5"/>
        <v>0.55297916376439993</v>
      </c>
      <c r="L139" s="34">
        <f t="shared" si="5"/>
        <v>10.212293038677011</v>
      </c>
      <c r="M139" s="34">
        <f t="shared" si="5"/>
        <v>10.633809099326207</v>
      </c>
      <c r="N139" s="34">
        <f t="shared" si="5"/>
        <v>16.840299173622732</v>
      </c>
      <c r="O139" s="42">
        <f t="shared" si="7"/>
        <v>0.17364982701821852</v>
      </c>
      <c r="P139" s="38">
        <v>0</v>
      </c>
      <c r="Q139" s="38">
        <v>0</v>
      </c>
    </row>
    <row r="140" spans="1:17" x14ac:dyDescent="0.25">
      <c r="A140" s="14">
        <v>40238</v>
      </c>
      <c r="B140" s="13">
        <f>121925727378.87/(10^9)</f>
        <v>121.92572737886999</v>
      </c>
      <c r="C140" s="13">
        <f>55629270282.5412/(10^9)</f>
        <v>55.629270282541199</v>
      </c>
      <c r="D140" s="13">
        <f>19172734159.9019/(10^9)</f>
        <v>19.1727341599019</v>
      </c>
      <c r="E140" s="13">
        <f>25291050281.5043/(10^9)</f>
        <v>25.291050281504297</v>
      </c>
      <c r="F140" s="13">
        <f>5080845297.69445/(10^9)</f>
        <v>5.0808452976944505</v>
      </c>
      <c r="G140" s="13">
        <f>201808577119.007/(10^9)</f>
        <v>201.808577119007</v>
      </c>
      <c r="H140" s="34">
        <f t="shared" si="6"/>
        <v>1.0576965818528183</v>
      </c>
      <c r="I140" s="13">
        <f>207926893240.61/(10^9)</f>
        <v>207.92689324060999</v>
      </c>
      <c r="J140" s="34">
        <f t="shared" ref="J140:N190" si="8">((B140/B128)-1)*100</f>
        <v>-1.9300277752130723</v>
      </c>
      <c r="K140" s="34">
        <f t="shared" si="8"/>
        <v>2.0941422538172327</v>
      </c>
      <c r="L140" s="34">
        <f t="shared" si="8"/>
        <v>16.607832427348246</v>
      </c>
      <c r="M140" s="34">
        <f t="shared" si="8"/>
        <v>12.057945429173177</v>
      </c>
      <c r="N140" s="34">
        <f t="shared" si="8"/>
        <v>14.410706404341278</v>
      </c>
      <c r="O140" s="42">
        <f t="shared" si="7"/>
        <v>1.0217196698600439</v>
      </c>
      <c r="P140" s="38">
        <v>0</v>
      </c>
      <c r="Q140" s="38">
        <v>0</v>
      </c>
    </row>
    <row r="141" spans="1:17" x14ac:dyDescent="0.25">
      <c r="A141" s="14">
        <v>40269</v>
      </c>
      <c r="B141" s="13">
        <f>122556462659.704/(10^9)</f>
        <v>122.556462659704</v>
      </c>
      <c r="C141" s="13">
        <f>55894914179.664/(10^9)</f>
        <v>55.894914179663999</v>
      </c>
      <c r="D141" s="13">
        <f>18965662288.8786/(10^9)</f>
        <v>18.965662288878601</v>
      </c>
      <c r="E141" s="13">
        <f>25444949609.8916/(10^9)</f>
        <v>25.444949609891601</v>
      </c>
      <c r="F141" s="13">
        <f>5097562175.69016/(10^9)</f>
        <v>5.0975621756901601</v>
      </c>
      <c r="G141" s="13">
        <f>202514601303.937/(10^9)</f>
        <v>202.51460130393701</v>
      </c>
      <c r="H141" s="34">
        <f t="shared" si="6"/>
        <v>1.6338322159684227</v>
      </c>
      <c r="I141" s="13">
        <f>208993888624.95/(10^9)</f>
        <v>208.99388862495002</v>
      </c>
      <c r="J141" s="34">
        <f t="shared" si="8"/>
        <v>-1.078142384669456</v>
      </c>
      <c r="K141" s="34">
        <f t="shared" si="8"/>
        <v>3.2897652607697614</v>
      </c>
      <c r="L141" s="34">
        <f t="shared" si="8"/>
        <v>13.502164525471439</v>
      </c>
      <c r="M141" s="34">
        <f t="shared" si="8"/>
        <v>11.956606090188249</v>
      </c>
      <c r="N141" s="34">
        <f t="shared" si="8"/>
        <v>12.215324324058784</v>
      </c>
      <c r="O141" s="42">
        <f t="shared" si="7"/>
        <v>1.8106511425598715</v>
      </c>
      <c r="P141" s="38">
        <v>0</v>
      </c>
      <c r="Q141" s="38">
        <v>0</v>
      </c>
    </row>
    <row r="142" spans="1:17" x14ac:dyDescent="0.25">
      <c r="A142" s="14">
        <v>40299</v>
      </c>
      <c r="B142" s="13">
        <f>123924766385.301/(10^9)</f>
        <v>123.924766385301</v>
      </c>
      <c r="C142" s="13">
        <f>56536208911.0555/(10^9)</f>
        <v>56.536208911055496</v>
      </c>
      <c r="D142" s="13">
        <f>19446238368.589/(10^9)</f>
        <v>19.446238368589</v>
      </c>
      <c r="E142" s="13">
        <f>25776877975.9901/(10^9)</f>
        <v>25.7768779759901</v>
      </c>
      <c r="F142" s="13">
        <f>5112442798.23316/(10^9)</f>
        <v>5.1124427982331602</v>
      </c>
      <c r="G142" s="13">
        <f>205019656463.179/(10^9)</f>
        <v>205.01965646317899</v>
      </c>
      <c r="H142" s="34">
        <f t="shared" si="6"/>
        <v>1.4946866766247124</v>
      </c>
      <c r="I142" s="13">
        <f>211350296070.58/(10^9)</f>
        <v>211.35029607057999</v>
      </c>
      <c r="J142" s="34">
        <f t="shared" si="8"/>
        <v>-2.3994725290548358</v>
      </c>
      <c r="K142" s="34">
        <f t="shared" si="8"/>
        <v>4.7759726032853944</v>
      </c>
      <c r="L142" s="34">
        <f t="shared" si="8"/>
        <v>18.372701979702576</v>
      </c>
      <c r="M142" s="34">
        <f t="shared" si="8"/>
        <v>12.454463015270578</v>
      </c>
      <c r="N142" s="34">
        <f t="shared" si="8"/>
        <v>10.137751072605372</v>
      </c>
      <c r="O142" s="42">
        <f t="shared" si="7"/>
        <v>1.3697385925129257</v>
      </c>
      <c r="P142" s="38">
        <v>0</v>
      </c>
      <c r="Q142" s="38">
        <v>0</v>
      </c>
    </row>
    <row r="143" spans="1:17" x14ac:dyDescent="0.25">
      <c r="A143" s="14">
        <v>40330</v>
      </c>
      <c r="B143" s="13">
        <f>125928435527.444/(10^9)</f>
        <v>125.92843552744399</v>
      </c>
      <c r="C143" s="13">
        <f>57056794348.7829/(10^9)</f>
        <v>57.056794348782901</v>
      </c>
      <c r="D143" s="13">
        <f>19899593554.5092/(10^9)</f>
        <v>19.899593554509202</v>
      </c>
      <c r="E143" s="13">
        <f>26074996684.4774/(10^9)</f>
        <v>26.074996684477401</v>
      </c>
      <c r="F143" s="13">
        <f>5150090985.08108/(10^9)</f>
        <v>5.1500909850810803</v>
      </c>
      <c r="G143" s="13">
        <f>208034914415.817/(10^9)</f>
        <v>208.03491441581698</v>
      </c>
      <c r="H143" s="34">
        <f t="shared" si="6"/>
        <v>2.8274381222113565</v>
      </c>
      <c r="I143" s="13">
        <f>214210317545.785/(10^9)</f>
        <v>214.21031754578502</v>
      </c>
      <c r="J143" s="34">
        <f t="shared" si="8"/>
        <v>-0.89352292481890139</v>
      </c>
      <c r="K143" s="34">
        <f t="shared" si="8"/>
        <v>5.8948153077571064</v>
      </c>
      <c r="L143" s="34">
        <f t="shared" si="8"/>
        <v>19.543897870442528</v>
      </c>
      <c r="M143" s="34">
        <f t="shared" si="8"/>
        <v>13.319933745599277</v>
      </c>
      <c r="N143" s="34">
        <f t="shared" si="8"/>
        <v>9.0215622611575785</v>
      </c>
      <c r="O143" s="42">
        <f t="shared" si="7"/>
        <v>2.6509294479715173</v>
      </c>
      <c r="P143" s="38">
        <v>0</v>
      </c>
      <c r="Q143" s="38">
        <v>0</v>
      </c>
    </row>
    <row r="144" spans="1:17" x14ac:dyDescent="0.25">
      <c r="A144" s="14">
        <v>40360</v>
      </c>
      <c r="B144" s="13">
        <f>126982103716.475/(10^9)</f>
        <v>126.98210371647501</v>
      </c>
      <c r="C144" s="13">
        <f>57784967829.5015/(10^9)</f>
        <v>57.784967829501504</v>
      </c>
      <c r="D144" s="13">
        <f>19632700472.6265/(10^9)</f>
        <v>19.6327004726265</v>
      </c>
      <c r="E144" s="13">
        <f>26428264418.9822/(10^9)</f>
        <v>26.428264418982202</v>
      </c>
      <c r="F144" s="13">
        <f>5181845552.41343/(10^9)</f>
        <v>5.1818455524134306</v>
      </c>
      <c r="G144" s="13">
        <f>209581617571.016/(10^9)</f>
        <v>209.58161757101598</v>
      </c>
      <c r="H144" s="34">
        <f t="shared" si="6"/>
        <v>3.8820215266186286</v>
      </c>
      <c r="I144" s="13">
        <f>216377181517.372/(10^9)</f>
        <v>216.37718151737201</v>
      </c>
      <c r="J144" s="34">
        <f t="shared" si="8"/>
        <v>0.77269199041298808</v>
      </c>
      <c r="K144" s="34">
        <f t="shared" si="8"/>
        <v>7.1857638439028149</v>
      </c>
      <c r="L144" s="34">
        <f t="shared" si="8"/>
        <v>15.375845128912658</v>
      </c>
      <c r="M144" s="34">
        <f t="shared" si="8"/>
        <v>13.748042190875953</v>
      </c>
      <c r="N144" s="34">
        <f t="shared" si="8"/>
        <v>7.6443300928985547</v>
      </c>
      <c r="O144" s="42">
        <f t="shared" si="7"/>
        <v>4.0438024299604081</v>
      </c>
      <c r="P144" s="38">
        <v>0</v>
      </c>
      <c r="Q144" s="38">
        <v>0</v>
      </c>
    </row>
    <row r="145" spans="1:17" x14ac:dyDescent="0.25">
      <c r="A145" s="14">
        <v>40391</v>
      </c>
      <c r="B145" s="13">
        <f>128661294483.18/(10^9)</f>
        <v>128.66129448318</v>
      </c>
      <c r="C145" s="13">
        <f>58592656931.3189/(10^9)</f>
        <v>58.592656931318899</v>
      </c>
      <c r="D145" s="13">
        <f>20116110981.595/(10^9)</f>
        <v>20.116110981595</v>
      </c>
      <c r="E145" s="13">
        <f>26742051755.197/(10^9)</f>
        <v>26.742051755197</v>
      </c>
      <c r="F145" s="13">
        <f>5267901306.56942/(10^9)</f>
        <v>5.2679013065694198</v>
      </c>
      <c r="G145" s="13">
        <f>212637963702.664/(10^9)</f>
        <v>212.637963702664</v>
      </c>
      <c r="H145" s="34">
        <f t="shared" ref="H145:H208" si="9">+(G145/G133-1)*100</f>
        <v>6.703735028217328</v>
      </c>
      <c r="I145" s="13">
        <f>219263904476.266/(10^9)</f>
        <v>219.26390447626599</v>
      </c>
      <c r="J145" s="34">
        <f t="shared" si="8"/>
        <v>4.1915219383822144</v>
      </c>
      <c r="K145" s="34">
        <f t="shared" si="8"/>
        <v>8.4432296878828019</v>
      </c>
      <c r="L145" s="34">
        <f t="shared" si="8"/>
        <v>19.331812056274742</v>
      </c>
      <c r="M145" s="34">
        <f t="shared" si="8"/>
        <v>14.063259974636644</v>
      </c>
      <c r="N145" s="34">
        <f t="shared" si="8"/>
        <v>7.3887412464528346</v>
      </c>
      <c r="O145" s="42">
        <f t="shared" ref="O145:O208" si="10">+(I145/I133-1)*100</f>
        <v>6.5078234725163497</v>
      </c>
      <c r="P145" s="38">
        <v>0</v>
      </c>
      <c r="Q145" s="38">
        <v>0</v>
      </c>
    </row>
    <row r="146" spans="1:17" x14ac:dyDescent="0.25">
      <c r="A146" s="14">
        <v>40422</v>
      </c>
      <c r="B146" s="13">
        <f>131944501713.873/(10^9)</f>
        <v>131.944501713873</v>
      </c>
      <c r="C146" s="13">
        <f>59708415100.788/(10^9)</f>
        <v>59.708415100788002</v>
      </c>
      <c r="D146" s="13">
        <f>20751477395.2595/(10^9)</f>
        <v>20.751477395259499</v>
      </c>
      <c r="E146" s="13">
        <f>27144735381.7004/(10^9)</f>
        <v>27.1447353817004</v>
      </c>
      <c r="F146" s="13">
        <f>5349692356.80373/(10^9)</f>
        <v>5.3496923568037298</v>
      </c>
      <c r="G146" s="13">
        <f>217754086566.724/(10^9)</f>
        <v>217.754086566724</v>
      </c>
      <c r="H146" s="34">
        <f t="shared" si="9"/>
        <v>9.2582556168831829</v>
      </c>
      <c r="I146" s="13">
        <f>224147344553.165/(10^9)</f>
        <v>224.147344553165</v>
      </c>
      <c r="J146" s="34">
        <f t="shared" si="8"/>
        <v>7.4362657477454741</v>
      </c>
      <c r="K146" s="34">
        <f t="shared" si="8"/>
        <v>10.236478645520307</v>
      </c>
      <c r="L146" s="34">
        <f t="shared" si="8"/>
        <v>19.723102298376062</v>
      </c>
      <c r="M146" s="34">
        <f t="shared" si="8"/>
        <v>14.154377327740475</v>
      </c>
      <c r="N146" s="34">
        <f t="shared" si="8"/>
        <v>7.1337865252310895</v>
      </c>
      <c r="O146" s="42">
        <f t="shared" si="10"/>
        <v>8.9425234810422527</v>
      </c>
      <c r="P146" s="38">
        <v>0</v>
      </c>
      <c r="Q146" s="38">
        <v>0</v>
      </c>
    </row>
    <row r="147" spans="1:17" x14ac:dyDescent="0.25">
      <c r="A147" s="14">
        <v>40452</v>
      </c>
      <c r="B147" s="13">
        <f>134332699963.337/(10^9)</f>
        <v>134.33269996333701</v>
      </c>
      <c r="C147" s="13">
        <f>60670862785.6529/(10^9)</f>
        <v>60.670862785652901</v>
      </c>
      <c r="D147" s="13">
        <f>20903329660.3452/(10^9)</f>
        <v>20.9033296603452</v>
      </c>
      <c r="E147" s="13">
        <f>27493299998.378/(10^9)</f>
        <v>27.493299998377999</v>
      </c>
      <c r="F147" s="13">
        <f>5466111365.62856/(10^9)</f>
        <v>5.46611136562856</v>
      </c>
      <c r="G147" s="13">
        <f>221373003774.964/(10^9)</f>
        <v>221.37300377496399</v>
      </c>
      <c r="H147" s="34">
        <f t="shared" si="9"/>
        <v>10.44386903643575</v>
      </c>
      <c r="I147" s="13">
        <f>227962974112.997/(10^9)</f>
        <v>227.96297411299702</v>
      </c>
      <c r="J147" s="34">
        <f t="shared" si="8"/>
        <v>9.2323283090612875</v>
      </c>
      <c r="K147" s="34">
        <f t="shared" si="8"/>
        <v>11.243063492339411</v>
      </c>
      <c r="L147" s="34">
        <f t="shared" si="8"/>
        <v>17.260063158228299</v>
      </c>
      <c r="M147" s="34">
        <f t="shared" si="8"/>
        <v>13.890300808889711</v>
      </c>
      <c r="N147" s="34">
        <f t="shared" si="8"/>
        <v>7.2835206313262013</v>
      </c>
      <c r="O147" s="42">
        <f t="shared" si="10"/>
        <v>10.258569409153973</v>
      </c>
      <c r="P147" s="38">
        <v>0</v>
      </c>
      <c r="Q147" s="38">
        <v>0</v>
      </c>
    </row>
    <row r="148" spans="1:17" x14ac:dyDescent="0.25">
      <c r="A148" s="14">
        <v>40483</v>
      </c>
      <c r="B148" s="13">
        <f>139345201867.664/(10^9)</f>
        <v>139.345201867664</v>
      </c>
      <c r="C148" s="13">
        <f>61856035063.0916/(10^9)</f>
        <v>61.856035063091596</v>
      </c>
      <c r="D148" s="13">
        <f>21486458011.8629/(10^9)</f>
        <v>21.486458011862901</v>
      </c>
      <c r="E148" s="13">
        <f>27805507786.3601/(10^9)</f>
        <v>27.805507786360099</v>
      </c>
      <c r="F148" s="13">
        <f>5550823010.98385/(10^9)</f>
        <v>5.5508230109838497</v>
      </c>
      <c r="G148" s="13">
        <f>228238517953.603/(10^9)</f>
        <v>228.23851795360301</v>
      </c>
      <c r="H148" s="34">
        <f t="shared" si="9"/>
        <v>13.326028932905754</v>
      </c>
      <c r="I148" s="13">
        <f>234557567728.1/(10^9)</f>
        <v>234.5575677281</v>
      </c>
      <c r="J148" s="34">
        <f t="shared" si="8"/>
        <v>13.668751774570097</v>
      </c>
      <c r="K148" s="34">
        <f t="shared" si="8"/>
        <v>11.593645620586557</v>
      </c>
      <c r="L148" s="34">
        <f t="shared" si="8"/>
        <v>17.683062249900129</v>
      </c>
      <c r="M148" s="34">
        <f t="shared" si="8"/>
        <v>13.784946927222009</v>
      </c>
      <c r="N148" s="34">
        <f t="shared" si="8"/>
        <v>8.3413528097147314</v>
      </c>
      <c r="O148" s="42">
        <f t="shared" si="10"/>
        <v>12.996825166736548</v>
      </c>
      <c r="P148" s="38">
        <v>0</v>
      </c>
      <c r="Q148" s="38">
        <v>0</v>
      </c>
    </row>
    <row r="149" spans="1:17" x14ac:dyDescent="0.25">
      <c r="A149" s="14">
        <v>40513</v>
      </c>
      <c r="B149" s="13">
        <f>142516632832.056/(10^9)</f>
        <v>142.51663283205599</v>
      </c>
      <c r="C149" s="13">
        <f>62876770699.9163/(10^9)</f>
        <v>62.8767706999163</v>
      </c>
      <c r="D149" s="13">
        <f>18694614715.4392/(10^9)</f>
        <v>18.694614715439201</v>
      </c>
      <c r="E149" s="13">
        <f>28141499481.314/(10^9)</f>
        <v>28.141499481314</v>
      </c>
      <c r="F149" s="13">
        <f>5600498254.46747/(10^9)</f>
        <v>5.6004982544674702</v>
      </c>
      <c r="G149" s="13">
        <f>229688516501.879/(10^9)</f>
        <v>229.68851650187901</v>
      </c>
      <c r="H149" s="34">
        <f t="shared" si="9"/>
        <v>13.508575321436055</v>
      </c>
      <c r="I149" s="13">
        <f>239135401267.753/(10^9)</f>
        <v>239.135401267753</v>
      </c>
      <c r="J149" s="34">
        <f t="shared" si="8"/>
        <v>15.664428924060548</v>
      </c>
      <c r="K149" s="34">
        <f t="shared" si="8"/>
        <v>13.010783045408569</v>
      </c>
      <c r="L149" s="34">
        <f t="shared" si="8"/>
        <v>1.8011950239514185</v>
      </c>
      <c r="M149" s="34">
        <f t="shared" si="8"/>
        <v>13.863225488027053</v>
      </c>
      <c r="N149" s="34">
        <f t="shared" si="8"/>
        <v>9.0409802282520602</v>
      </c>
      <c r="O149" s="42">
        <f t="shared" si="10"/>
        <v>14.580701078956594</v>
      </c>
      <c r="P149" s="38">
        <v>0</v>
      </c>
      <c r="Q149" s="38">
        <v>0</v>
      </c>
    </row>
    <row r="150" spans="1:17" x14ac:dyDescent="0.25">
      <c r="A150" s="14">
        <v>40544</v>
      </c>
      <c r="B150" s="13">
        <f>140941583073.184/(10^9)</f>
        <v>140.94158307318398</v>
      </c>
      <c r="C150" s="13">
        <f>63164159675.0489/(10^9)</f>
        <v>63.1641596750489</v>
      </c>
      <c r="D150" s="13">
        <f>19098214232.3345/(10^9)</f>
        <v>19.098214232334499</v>
      </c>
      <c r="E150" s="13">
        <f>28262671461.6736/(10^9)</f>
        <v>28.262671461673598</v>
      </c>
      <c r="F150" s="13">
        <f>5598672490.64635/(10^9)</f>
        <v>5.5986724906463499</v>
      </c>
      <c r="G150" s="13">
        <f>228802629471.214/(10^9)</f>
        <v>228.80262947121398</v>
      </c>
      <c r="H150" s="34">
        <f t="shared" si="9"/>
        <v>13.827136287620579</v>
      </c>
      <c r="I150" s="13">
        <f>237967086700.553/(10^9)</f>
        <v>237.96708670055301</v>
      </c>
      <c r="J150" s="34">
        <f t="shared" si="8"/>
        <v>15.739415248273936</v>
      </c>
      <c r="K150" s="34">
        <f t="shared" si="8"/>
        <v>13.770359545692369</v>
      </c>
      <c r="L150" s="34">
        <f t="shared" si="8"/>
        <v>2.6708676131901754</v>
      </c>
      <c r="M150" s="34">
        <f t="shared" si="8"/>
        <v>13.981665146187261</v>
      </c>
      <c r="N150" s="34">
        <f t="shared" si="8"/>
        <v>9.4870444656874895</v>
      </c>
      <c r="O150" s="42">
        <f t="shared" si="10"/>
        <v>14.847167653156014</v>
      </c>
      <c r="P150" s="38">
        <v>0</v>
      </c>
      <c r="Q150" s="38">
        <v>0</v>
      </c>
    </row>
    <row r="151" spans="1:17" x14ac:dyDescent="0.25">
      <c r="A151" s="14">
        <v>40575</v>
      </c>
      <c r="B151" s="13">
        <f>143060049274.316/(10^9)</f>
        <v>143.06004927431601</v>
      </c>
      <c r="C151" s="13">
        <f>63726793622.5064/(10^9)</f>
        <v>63.726793622506399</v>
      </c>
      <c r="D151" s="13">
        <f>19572155185.13/(10^9)</f>
        <v>19.572155185130001</v>
      </c>
      <c r="E151" s="13">
        <f>28462539115.4798/(10^9)</f>
        <v>28.4625391154798</v>
      </c>
      <c r="F151" s="13">
        <f>6329116074.00938/(10^9)</f>
        <v>6.3291160740093799</v>
      </c>
      <c r="G151" s="13">
        <f>232688114155.962/(10^9)</f>
        <v>232.68811415596201</v>
      </c>
      <c r="H151" s="34">
        <f t="shared" si="9"/>
        <v>15.755767499244811</v>
      </c>
      <c r="I151" s="13">
        <f>241578498086.312/(10^9)</f>
        <v>241.57849808631201</v>
      </c>
      <c r="J151" s="34">
        <f t="shared" si="8"/>
        <v>17.473400462725142</v>
      </c>
      <c r="K151" s="34">
        <f t="shared" si="8"/>
        <v>14.904475919061122</v>
      </c>
      <c r="L151" s="34">
        <f t="shared" si="8"/>
        <v>4.8138725354941236</v>
      </c>
      <c r="M151" s="34">
        <f t="shared" si="8"/>
        <v>14.120069537141866</v>
      </c>
      <c r="N151" s="34">
        <f t="shared" si="8"/>
        <v>24.05871032947222</v>
      </c>
      <c r="O151" s="42">
        <f t="shared" si="10"/>
        <v>16.54466076826364</v>
      </c>
      <c r="P151" s="38">
        <v>0</v>
      </c>
      <c r="Q151" s="38">
        <v>0</v>
      </c>
    </row>
    <row r="152" spans="1:17" x14ac:dyDescent="0.25">
      <c r="A152" s="14">
        <v>40603</v>
      </c>
      <c r="B152" s="13">
        <f>144842094410.774/(10^9)</f>
        <v>144.842094410774</v>
      </c>
      <c r="C152" s="13">
        <f>64580045374.8806/(10^9)</f>
        <v>64.580045374880598</v>
      </c>
      <c r="D152" s="13">
        <f>20166999556.0594/(10^9)</f>
        <v>20.166999556059398</v>
      </c>
      <c r="E152" s="13">
        <f>28790773551.4617/(10^9)</f>
        <v>28.790773551461701</v>
      </c>
      <c r="F152" s="13">
        <f>6419852193.8646/(10^9)</f>
        <v>6.4198521938646005</v>
      </c>
      <c r="G152" s="13">
        <f>236008991535.578/(10^9)</f>
        <v>236.00899153557799</v>
      </c>
      <c r="H152" s="34">
        <f t="shared" si="9"/>
        <v>16.946957807647056</v>
      </c>
      <c r="I152" s="13">
        <f>244632765530.981/(10^9)</f>
        <v>244.63276553098098</v>
      </c>
      <c r="J152" s="34">
        <f t="shared" si="8"/>
        <v>18.795349861390665</v>
      </c>
      <c r="K152" s="34">
        <f t="shared" si="8"/>
        <v>16.090045846149682</v>
      </c>
      <c r="L152" s="34">
        <f t="shared" si="8"/>
        <v>5.1858299805612296</v>
      </c>
      <c r="M152" s="34">
        <f t="shared" si="8"/>
        <v>13.837793334019022</v>
      </c>
      <c r="N152" s="34">
        <f t="shared" si="8"/>
        <v>26.354018233496589</v>
      </c>
      <c r="O152" s="42">
        <f t="shared" si="10"/>
        <v>17.653258661396663</v>
      </c>
      <c r="P152" s="38">
        <v>0</v>
      </c>
      <c r="Q152" s="38">
        <v>0</v>
      </c>
    </row>
    <row r="153" spans="1:17" x14ac:dyDescent="0.25">
      <c r="A153" s="14">
        <v>40634</v>
      </c>
      <c r="B153" s="13">
        <f>146384352043.617/(10^9)</f>
        <v>146.38435204361701</v>
      </c>
      <c r="C153" s="13">
        <f>65844696741.5292/(10^9)</f>
        <v>65.844696741529191</v>
      </c>
      <c r="D153" s="13">
        <f>20699837399.6388/(10^9)</f>
        <v>20.699837399638803</v>
      </c>
      <c r="E153" s="13">
        <f>29115455751.6031/(10^9)</f>
        <v>29.115455751603101</v>
      </c>
      <c r="F153" s="13">
        <f>6516633625.41796/(10^9)</f>
        <v>6.5166336254179598</v>
      </c>
      <c r="G153" s="13">
        <f>239445519810.202/(10^9)</f>
        <v>239.445519810202</v>
      </c>
      <c r="H153" s="34">
        <f t="shared" si="9"/>
        <v>18.23617569719751</v>
      </c>
      <c r="I153" s="13">
        <f>247861138162.167/(10^9)</f>
        <v>247.86113816216698</v>
      </c>
      <c r="J153" s="34">
        <f t="shared" si="8"/>
        <v>19.442376898617454</v>
      </c>
      <c r="K153" s="34">
        <f t="shared" si="8"/>
        <v>17.80087277687452</v>
      </c>
      <c r="L153" s="34">
        <f t="shared" si="8"/>
        <v>9.1437624710691843</v>
      </c>
      <c r="M153" s="34">
        <f t="shared" si="8"/>
        <v>14.425283594527571</v>
      </c>
      <c r="N153" s="34">
        <f t="shared" si="8"/>
        <v>27.838237196894443</v>
      </c>
      <c r="O153" s="42">
        <f t="shared" si="10"/>
        <v>18.597313918095558</v>
      </c>
      <c r="P153" s="38">
        <v>0</v>
      </c>
      <c r="Q153" s="38">
        <v>0</v>
      </c>
    </row>
    <row r="154" spans="1:17" x14ac:dyDescent="0.25">
      <c r="A154" s="14">
        <v>40664</v>
      </c>
      <c r="B154" s="13">
        <f>149319099694.014/(10^9)</f>
        <v>149.319099694014</v>
      </c>
      <c r="C154" s="13">
        <f>67721229756.6756/(10^9)</f>
        <v>67.721229756675598</v>
      </c>
      <c r="D154" s="13">
        <f>21397990103.6396/(10^9)</f>
        <v>21.3979901036396</v>
      </c>
      <c r="E154" s="13">
        <f>29579731160.7116/(10^9)</f>
        <v>29.579731160711603</v>
      </c>
      <c r="F154" s="13">
        <f>6631822025.10286/(10^9)</f>
        <v>6.6318220251028608</v>
      </c>
      <c r="G154" s="13">
        <f>245070141579.432/(10^9)</f>
        <v>245.070141579432</v>
      </c>
      <c r="H154" s="34">
        <f t="shared" si="9"/>
        <v>19.534948895715274</v>
      </c>
      <c r="I154" s="13">
        <f>253251882636.504/(10^9)</f>
        <v>253.25188263650401</v>
      </c>
      <c r="J154" s="34">
        <f t="shared" si="8"/>
        <v>20.491733855489503</v>
      </c>
      <c r="K154" s="34">
        <f t="shared" si="8"/>
        <v>19.783818301677634</v>
      </c>
      <c r="L154" s="34">
        <f t="shared" si="8"/>
        <v>10.036654380433863</v>
      </c>
      <c r="M154" s="34">
        <f t="shared" si="8"/>
        <v>14.752962667797377</v>
      </c>
      <c r="N154" s="34">
        <f t="shared" si="8"/>
        <v>29.719241600019309</v>
      </c>
      <c r="O154" s="42">
        <f t="shared" si="10"/>
        <v>19.825657850950474</v>
      </c>
      <c r="P154" s="38">
        <v>0</v>
      </c>
      <c r="Q154" s="38">
        <v>0</v>
      </c>
    </row>
    <row r="155" spans="1:17" x14ac:dyDescent="0.25">
      <c r="A155" s="14">
        <v>40695</v>
      </c>
      <c r="B155" s="13">
        <f>150594666850.982/(10^9)</f>
        <v>150.59466685098201</v>
      </c>
      <c r="C155" s="13">
        <f>69032895234.9049/(10^9)</f>
        <v>69.032895234904913</v>
      </c>
      <c r="D155" s="13">
        <f>21746070117.6844/(10^9)</f>
        <v>21.746070117684397</v>
      </c>
      <c r="E155" s="13">
        <f>29986008995.2379/(10^9)</f>
        <v>29.986008995237899</v>
      </c>
      <c r="F155" s="13">
        <f>6736704137.53502/(10^9)</f>
        <v>6.7367041375350203</v>
      </c>
      <c r="G155" s="13">
        <f>248110336341.107/(10^9)</f>
        <v>248.110336341107</v>
      </c>
      <c r="H155" s="34">
        <f t="shared" si="9"/>
        <v>19.263796193934969</v>
      </c>
      <c r="I155" s="13">
        <f>256350275218.66/(10^9)</f>
        <v>256.35027521865999</v>
      </c>
      <c r="J155" s="34">
        <f t="shared" si="8"/>
        <v>19.58749921749201</v>
      </c>
      <c r="K155" s="34">
        <f t="shared" si="8"/>
        <v>20.989789249135193</v>
      </c>
      <c r="L155" s="34">
        <f t="shared" si="8"/>
        <v>9.2789662166581586</v>
      </c>
      <c r="M155" s="34">
        <f t="shared" si="8"/>
        <v>14.999090347300958</v>
      </c>
      <c r="N155" s="34">
        <f t="shared" si="8"/>
        <v>30.807478101844854</v>
      </c>
      <c r="O155" s="42">
        <f t="shared" si="10"/>
        <v>19.672235285243911</v>
      </c>
      <c r="P155" s="38">
        <v>0</v>
      </c>
      <c r="Q155" s="38">
        <v>0</v>
      </c>
    </row>
    <row r="156" spans="1:17" x14ac:dyDescent="0.25">
      <c r="A156" s="14">
        <v>40725</v>
      </c>
      <c r="B156" s="13">
        <f>152357551354.205/(10^9)</f>
        <v>152.35755135420499</v>
      </c>
      <c r="C156" s="13">
        <f>70164031486.748/(10^9)</f>
        <v>70.164031486748001</v>
      </c>
      <c r="D156" s="13">
        <f>22327304853.1005/(10^9)</f>
        <v>22.327304853100497</v>
      </c>
      <c r="E156" s="13">
        <f>30373255403.276/(10^9)</f>
        <v>30.373255403276001</v>
      </c>
      <c r="F156" s="13">
        <f>6846544430.69748/(10^9)</f>
        <v>6.8465444306974801</v>
      </c>
      <c r="G156" s="13">
        <f>251695432124.751/(10^9)</f>
        <v>251.69543212475099</v>
      </c>
      <c r="H156" s="34">
        <f t="shared" si="9"/>
        <v>20.094231088499392</v>
      </c>
      <c r="I156" s="13">
        <f>259741382674.926/(10^9)</f>
        <v>259.741382674926</v>
      </c>
      <c r="J156" s="34">
        <f t="shared" si="8"/>
        <v>19.983483416204972</v>
      </c>
      <c r="K156" s="34">
        <f t="shared" si="8"/>
        <v>21.422636582184772</v>
      </c>
      <c r="L156" s="34">
        <f t="shared" si="8"/>
        <v>13.725082722221703</v>
      </c>
      <c r="M156" s="34">
        <f t="shared" si="8"/>
        <v>14.927166316151631</v>
      </c>
      <c r="N156" s="34">
        <f t="shared" si="8"/>
        <v>32.125598137689003</v>
      </c>
      <c r="O156" s="42">
        <f t="shared" si="10"/>
        <v>20.041023204691498</v>
      </c>
      <c r="P156" s="38">
        <v>0</v>
      </c>
      <c r="Q156" s="38">
        <v>0</v>
      </c>
    </row>
    <row r="157" spans="1:17" x14ac:dyDescent="0.25">
      <c r="A157" s="14">
        <v>40756</v>
      </c>
      <c r="B157" s="13">
        <f>154501646925.815/(10^9)</f>
        <v>154.50164692581501</v>
      </c>
      <c r="C157" s="13">
        <f>71507090626.3867/(10^9)</f>
        <v>71.507090626386699</v>
      </c>
      <c r="D157" s="13">
        <f>23043252872.1195/(10^9)</f>
        <v>23.043252872119499</v>
      </c>
      <c r="E157" s="13">
        <f>30893131134.8781/(10^9)</f>
        <v>30.8931311348781</v>
      </c>
      <c r="F157" s="13">
        <f>7004816998.41722/(10^9)</f>
        <v>7.0048169984172199</v>
      </c>
      <c r="G157" s="13">
        <f>256056807422.739/(10^9)</f>
        <v>256.05680742273904</v>
      </c>
      <c r="H157" s="34">
        <f t="shared" si="9"/>
        <v>20.419140102746901</v>
      </c>
      <c r="I157" s="13">
        <f>263906685685.497/(10^9)</f>
        <v>263.906685685497</v>
      </c>
      <c r="J157" s="34">
        <f t="shared" si="8"/>
        <v>20.084014035793139</v>
      </c>
      <c r="K157" s="34">
        <f t="shared" si="8"/>
        <v>22.041044682793331</v>
      </c>
      <c r="L157" s="34">
        <f t="shared" si="8"/>
        <v>14.551231563609157</v>
      </c>
      <c r="M157" s="34">
        <f t="shared" si="8"/>
        <v>15.522666015611119</v>
      </c>
      <c r="N157" s="34">
        <f t="shared" si="8"/>
        <v>32.971682474038609</v>
      </c>
      <c r="O157" s="42">
        <f t="shared" si="10"/>
        <v>20.36029656402625</v>
      </c>
      <c r="P157" s="38">
        <v>0</v>
      </c>
      <c r="Q157" s="38">
        <v>0</v>
      </c>
    </row>
    <row r="158" spans="1:17" x14ac:dyDescent="0.25">
      <c r="A158" s="14">
        <v>40787</v>
      </c>
      <c r="B158" s="13">
        <f>157778885022.636/(10^9)</f>
        <v>157.77888502263599</v>
      </c>
      <c r="C158" s="13">
        <f>72613476277.1089/(10^9)</f>
        <v>72.613476277108902</v>
      </c>
      <c r="D158" s="13">
        <f>23281868587.0565/(10^9)</f>
        <v>23.281868587056501</v>
      </c>
      <c r="E158" s="13">
        <f>31297072717.7073/(10^9)</f>
        <v>31.297072717707298</v>
      </c>
      <c r="F158" s="13">
        <f>7145007661.39108/(10^9)</f>
        <v>7.1450076613910802</v>
      </c>
      <c r="G158" s="13">
        <f>260819237548.193/(10^9)</f>
        <v>260.81923754819297</v>
      </c>
      <c r="H158" s="34">
        <f t="shared" si="9"/>
        <v>19.776965686599411</v>
      </c>
      <c r="I158" s="13">
        <f>268834441678.843/(10^9)</f>
        <v>268.83444167884301</v>
      </c>
      <c r="J158" s="34">
        <f t="shared" si="8"/>
        <v>19.579734640846127</v>
      </c>
      <c r="K158" s="34">
        <f t="shared" si="8"/>
        <v>21.613471324832712</v>
      </c>
      <c r="L158" s="34">
        <f t="shared" si="8"/>
        <v>12.193788151079055</v>
      </c>
      <c r="M158" s="34">
        <f t="shared" si="8"/>
        <v>15.297026394319513</v>
      </c>
      <c r="N158" s="34">
        <f t="shared" si="8"/>
        <v>33.559225182436371</v>
      </c>
      <c r="O158" s="42">
        <f t="shared" si="10"/>
        <v>19.936482948196943</v>
      </c>
      <c r="P158" s="38">
        <v>0</v>
      </c>
      <c r="Q158" s="38">
        <v>0</v>
      </c>
    </row>
    <row r="159" spans="1:17" x14ac:dyDescent="0.25">
      <c r="A159" s="14">
        <v>40817</v>
      </c>
      <c r="B159" s="13">
        <f>158754536965.271/(10^9)</f>
        <v>158.754536965271</v>
      </c>
      <c r="C159" s="13">
        <f>73719061965.2472/(10^9)</f>
        <v>73.719061965247192</v>
      </c>
      <c r="D159" s="13">
        <f>23920460559.2398/(10^9)</f>
        <v>23.9204605592398</v>
      </c>
      <c r="E159" s="13">
        <f>31737698679.3578/(10^9)</f>
        <v>31.737698679357798</v>
      </c>
      <c r="F159" s="13">
        <f>7327362899.89423/(10^9)</f>
        <v>7.3273628998942302</v>
      </c>
      <c r="G159" s="13">
        <f>263721422389.652/(10^9)</f>
        <v>263.72142238965199</v>
      </c>
      <c r="H159" s="34">
        <f t="shared" si="9"/>
        <v>19.129892937504312</v>
      </c>
      <c r="I159" s="13">
        <f>271538660509.77/(10^9)</f>
        <v>271.53866050977001</v>
      </c>
      <c r="J159" s="34">
        <f t="shared" si="8"/>
        <v>18.180113262518628</v>
      </c>
      <c r="K159" s="34">
        <f t="shared" si="8"/>
        <v>21.50653308770789</v>
      </c>
      <c r="L159" s="34">
        <f t="shared" si="8"/>
        <v>14.433733514801084</v>
      </c>
      <c r="M159" s="34">
        <f t="shared" si="8"/>
        <v>15.437938265796403</v>
      </c>
      <c r="N159" s="34">
        <f t="shared" si="8"/>
        <v>34.050743019423301</v>
      </c>
      <c r="O159" s="42">
        <f t="shared" si="10"/>
        <v>19.115247362570976</v>
      </c>
      <c r="P159" s="38">
        <v>0</v>
      </c>
      <c r="Q159" s="38">
        <v>0</v>
      </c>
    </row>
    <row r="160" spans="1:17" x14ac:dyDescent="0.25">
      <c r="A160" s="14">
        <v>40848</v>
      </c>
      <c r="B160" s="13">
        <f>163958033116.691/(10^9)</f>
        <v>163.95803311669101</v>
      </c>
      <c r="C160" s="13">
        <f>75135921056.0824/(10^9)</f>
        <v>75.135921056082395</v>
      </c>
      <c r="D160" s="13">
        <f>24097878597.9436/(10^9)</f>
        <v>24.097878597943598</v>
      </c>
      <c r="E160" s="13">
        <f>32187791792.4999/(10^9)</f>
        <v>32.187791792499901</v>
      </c>
      <c r="F160" s="13">
        <f>7456031780.70148/(10^9)</f>
        <v>7.4560317807014798</v>
      </c>
      <c r="G160" s="13">
        <f>270647864551.418/(10^9)</f>
        <v>270.64786455141802</v>
      </c>
      <c r="H160" s="34">
        <f t="shared" si="9"/>
        <v>18.581152286677629</v>
      </c>
      <c r="I160" s="13">
        <f>278737777745.974/(10^9)</f>
        <v>278.73777774597397</v>
      </c>
      <c r="J160" s="34">
        <f t="shared" si="8"/>
        <v>17.663206855447953</v>
      </c>
      <c r="K160" s="34">
        <f t="shared" si="8"/>
        <v>21.469022350762778</v>
      </c>
      <c r="L160" s="34">
        <f t="shared" si="8"/>
        <v>12.153797450649639</v>
      </c>
      <c r="M160" s="34">
        <f t="shared" si="8"/>
        <v>15.760489036238766</v>
      </c>
      <c r="N160" s="34">
        <f t="shared" si="8"/>
        <v>34.322996174578854</v>
      </c>
      <c r="O160" s="42">
        <f t="shared" si="10"/>
        <v>18.835550882369233</v>
      </c>
      <c r="P160" s="38">
        <v>0</v>
      </c>
      <c r="Q160" s="38">
        <v>0</v>
      </c>
    </row>
    <row r="161" spans="1:17" x14ac:dyDescent="0.25">
      <c r="A161" s="14">
        <v>40878</v>
      </c>
      <c r="B161" s="13">
        <f>164072500878.365/(10^9)</f>
        <v>164.07250087836499</v>
      </c>
      <c r="C161" s="13">
        <f>76238961498.0626/(10^9)</f>
        <v>76.238961498062608</v>
      </c>
      <c r="D161" s="13">
        <f>24706184587.0139/(10^9)</f>
        <v>24.706184587013901</v>
      </c>
      <c r="E161" s="13">
        <f>32595971581.3831/(10^9)</f>
        <v>32.595971581383097</v>
      </c>
      <c r="F161" s="13">
        <f>7511007887.97218/(10^9)</f>
        <v>7.5110078879721804</v>
      </c>
      <c r="G161" s="13">
        <f>272528654851.414/(10^9)</f>
        <v>272.52865485141399</v>
      </c>
      <c r="H161" s="34">
        <f t="shared" si="9"/>
        <v>18.651406261829596</v>
      </c>
      <c r="I161" s="13">
        <f>280418441845.783/(10^9)</f>
        <v>280.41844184578304</v>
      </c>
      <c r="J161" s="34">
        <f t="shared" si="8"/>
        <v>15.125159511529308</v>
      </c>
      <c r="K161" s="34">
        <f t="shared" si="8"/>
        <v>21.251394830561953</v>
      </c>
      <c r="L161" s="34">
        <f t="shared" si="8"/>
        <v>32.156693053481142</v>
      </c>
      <c r="M161" s="34">
        <f t="shared" si="8"/>
        <v>15.828837063308843</v>
      </c>
      <c r="N161" s="34">
        <f t="shared" si="8"/>
        <v>34.113208266437958</v>
      </c>
      <c r="O161" s="42">
        <f t="shared" si="10"/>
        <v>17.263458425298815</v>
      </c>
      <c r="P161" s="38">
        <v>0</v>
      </c>
      <c r="Q161" s="38">
        <v>0</v>
      </c>
    </row>
    <row r="162" spans="1:17" x14ac:dyDescent="0.25">
      <c r="A162" s="14">
        <v>40909</v>
      </c>
      <c r="B162" s="13">
        <f>161696695854.334/(10^9)</f>
        <v>161.69669585433402</v>
      </c>
      <c r="C162" s="13">
        <f>76497302449.2884/(10^9)</f>
        <v>76.497302449288412</v>
      </c>
      <c r="D162" s="13">
        <f>25094236064.7012/(10^9)</f>
        <v>25.094236064701199</v>
      </c>
      <c r="E162" s="13">
        <f>32786146020.5623/(10^9)</f>
        <v>32.786146020562299</v>
      </c>
      <c r="F162" s="13">
        <f>7543734120.77587/(10^9)</f>
        <v>7.5437341207758699</v>
      </c>
      <c r="G162" s="13">
        <f>270831968489.099/(10^9)</f>
        <v>270.83196848909898</v>
      </c>
      <c r="H162" s="34">
        <f t="shared" si="9"/>
        <v>18.369255246331328</v>
      </c>
      <c r="I162" s="13">
        <f>278523878444.96/(10^9)</f>
        <v>278.52387844496002</v>
      </c>
      <c r="J162" s="34">
        <f t="shared" si="8"/>
        <v>14.726039206167375</v>
      </c>
      <c r="K162" s="34">
        <f t="shared" si="8"/>
        <v>21.108715516572229</v>
      </c>
      <c r="L162" s="34">
        <f t="shared" si="8"/>
        <v>31.395719827118974</v>
      </c>
      <c r="M162" s="34">
        <f t="shared" si="8"/>
        <v>16.005120269762486</v>
      </c>
      <c r="N162" s="34">
        <f t="shared" si="8"/>
        <v>34.741479044882809</v>
      </c>
      <c r="O162" s="42">
        <f t="shared" si="10"/>
        <v>17.043025700206105</v>
      </c>
      <c r="P162" s="38">
        <v>0</v>
      </c>
      <c r="Q162" s="38">
        <v>0</v>
      </c>
    </row>
    <row r="163" spans="1:17" x14ac:dyDescent="0.25">
      <c r="A163" s="14">
        <v>40940</v>
      </c>
      <c r="B163" s="13">
        <f>161919854713.17/(10^9)</f>
        <v>161.91985471317003</v>
      </c>
      <c r="C163" s="13">
        <f>77152052190.7383/(10^9)</f>
        <v>77.152052190738303</v>
      </c>
      <c r="D163" s="13">
        <f>25020767644.5642/(10^9)</f>
        <v>25.020767644564202</v>
      </c>
      <c r="E163" s="13">
        <f>32975205417.2952/(10^9)</f>
        <v>32.9752054172952</v>
      </c>
      <c r="F163" s="13">
        <f>7573584346.14662/(10^9)</f>
        <v>7.5735843461466201</v>
      </c>
      <c r="G163" s="13">
        <f>271666258894.619/(10^9)</f>
        <v>271.66625889461898</v>
      </c>
      <c r="H163" s="34">
        <f t="shared" si="9"/>
        <v>16.75124012244622</v>
      </c>
      <c r="I163" s="13">
        <f>279620696667.35/(10^9)</f>
        <v>279.62069666734999</v>
      </c>
      <c r="J163" s="34">
        <f t="shared" si="8"/>
        <v>13.183139202399241</v>
      </c>
      <c r="K163" s="34">
        <f t="shared" si="8"/>
        <v>21.066897932693895</v>
      </c>
      <c r="L163" s="34">
        <f t="shared" si="8"/>
        <v>27.838592162675056</v>
      </c>
      <c r="M163" s="34">
        <f t="shared" si="8"/>
        <v>15.854756610105515</v>
      </c>
      <c r="N163" s="34">
        <f t="shared" si="8"/>
        <v>19.662592020514037</v>
      </c>
      <c r="O163" s="42">
        <f t="shared" si="10"/>
        <v>15.747344603262725</v>
      </c>
      <c r="P163" s="38">
        <v>0</v>
      </c>
      <c r="Q163" s="38">
        <v>0</v>
      </c>
    </row>
    <row r="164" spans="1:17" x14ac:dyDescent="0.25">
      <c r="A164" s="14">
        <v>40969</v>
      </c>
      <c r="B164" s="13">
        <f>163354886529.352/(10^9)</f>
        <v>163.354886529352</v>
      </c>
      <c r="C164" s="13">
        <f>78262781873.7733/(10^9)</f>
        <v>78.262781873773307</v>
      </c>
      <c r="D164" s="13">
        <f>25618039859.9666/(10^9)</f>
        <v>25.618039859966597</v>
      </c>
      <c r="E164" s="13">
        <f>33393523648.7863/(10^9)</f>
        <v>33.393523648786299</v>
      </c>
      <c r="F164" s="13">
        <f>7670393128.17255/(10^9)</f>
        <v>7.6703931281725506</v>
      </c>
      <c r="G164" s="13">
        <f>274906101391.264/(10^9)</f>
        <v>274.90610139126397</v>
      </c>
      <c r="H164" s="34">
        <f t="shared" si="9"/>
        <v>16.481198280880882</v>
      </c>
      <c r="I164" s="13">
        <f>282681585180.084/(10^9)</f>
        <v>282.68158518008397</v>
      </c>
      <c r="J164" s="34">
        <f t="shared" si="8"/>
        <v>12.781361795332447</v>
      </c>
      <c r="K164" s="34">
        <f t="shared" si="8"/>
        <v>21.187251293283893</v>
      </c>
      <c r="L164" s="34">
        <f t="shared" si="8"/>
        <v>27.029505746527249</v>
      </c>
      <c r="M164" s="34">
        <f t="shared" si="8"/>
        <v>15.986892776942829</v>
      </c>
      <c r="N164" s="34">
        <f t="shared" si="8"/>
        <v>19.479279219279878</v>
      </c>
      <c r="O164" s="42">
        <f t="shared" si="10"/>
        <v>15.553443777867271</v>
      </c>
      <c r="P164" s="38">
        <v>0</v>
      </c>
      <c r="Q164" s="38">
        <v>0</v>
      </c>
    </row>
    <row r="165" spans="1:17" x14ac:dyDescent="0.25">
      <c r="A165" s="14">
        <v>41000</v>
      </c>
      <c r="B165" s="13">
        <f>164743339447.61/(10^9)</f>
        <v>164.74333944761</v>
      </c>
      <c r="C165" s="13">
        <f>79325320201.0759/(10^9)</f>
        <v>79.325320201075897</v>
      </c>
      <c r="D165" s="13">
        <f>26132927280.6157/(10^9)</f>
        <v>26.1329272806157</v>
      </c>
      <c r="E165" s="13">
        <f>33753853088.328/(10^9)</f>
        <v>33.753853088328</v>
      </c>
      <c r="F165" s="13">
        <f>7721367868.95065/(10^9)</f>
        <v>7.72136786895065</v>
      </c>
      <c r="G165" s="13">
        <f>277922954798.253/(10^9)</f>
        <v>277.92295479825299</v>
      </c>
      <c r="H165" s="34">
        <f t="shared" si="9"/>
        <v>16.069390238978109</v>
      </c>
      <c r="I165" s="13">
        <f>285543880605.965/(10^9)</f>
        <v>285.543880605965</v>
      </c>
      <c r="J165" s="34">
        <f t="shared" si="8"/>
        <v>12.541632454350516</v>
      </c>
      <c r="K165" s="34">
        <f t="shared" si="8"/>
        <v>20.473362513103165</v>
      </c>
      <c r="L165" s="34">
        <f t="shared" si="8"/>
        <v>26.247017191892063</v>
      </c>
      <c r="M165" s="34">
        <f t="shared" si="8"/>
        <v>15.931048362413168</v>
      </c>
      <c r="N165" s="34">
        <f t="shared" si="8"/>
        <v>18.487064223369188</v>
      </c>
      <c r="O165" s="42">
        <f t="shared" si="10"/>
        <v>15.203166871259777</v>
      </c>
      <c r="P165" s="38">
        <v>0</v>
      </c>
      <c r="Q165" s="38">
        <v>0</v>
      </c>
    </row>
    <row r="166" spans="1:17" x14ac:dyDescent="0.25">
      <c r="A166" s="14">
        <v>41030</v>
      </c>
      <c r="B166" s="13">
        <f>167017497126.342/(10^9)</f>
        <v>167.01749712634202</v>
      </c>
      <c r="C166" s="13">
        <f>80415472507.9064/(10^9)</f>
        <v>80.415472507906401</v>
      </c>
      <c r="D166" s="13">
        <f>26240030771.1343/(10^9)</f>
        <v>26.2400307711343</v>
      </c>
      <c r="E166" s="13">
        <f>34159615250.6157/(10^9)</f>
        <v>34.159615250615701</v>
      </c>
      <c r="F166" s="13">
        <f>7815443715.1097/(10^9)</f>
        <v>7.8154437151097005</v>
      </c>
      <c r="G166" s="13">
        <f>281488444120.493/(10^9)</f>
        <v>281.488444120493</v>
      </c>
      <c r="H166" s="34">
        <f t="shared" si="9"/>
        <v>14.860358877810143</v>
      </c>
      <c r="I166" s="13">
        <f>289408028599.974/(10^9)</f>
        <v>289.40802859997399</v>
      </c>
      <c r="J166" s="34">
        <f t="shared" si="8"/>
        <v>11.852735161540441</v>
      </c>
      <c r="K166" s="34">
        <f t="shared" si="8"/>
        <v>18.744849727096803</v>
      </c>
      <c r="L166" s="34">
        <f t="shared" si="8"/>
        <v>22.628483535334997</v>
      </c>
      <c r="M166" s="34">
        <f t="shared" si="8"/>
        <v>15.483183619962016</v>
      </c>
      <c r="N166" s="34">
        <f t="shared" si="8"/>
        <v>17.847609382860075</v>
      </c>
      <c r="O166" s="42">
        <f t="shared" si="10"/>
        <v>14.276753083555715</v>
      </c>
      <c r="P166" s="38">
        <v>0</v>
      </c>
      <c r="Q166" s="38">
        <v>0</v>
      </c>
    </row>
    <row r="167" spans="1:17" x14ac:dyDescent="0.25">
      <c r="A167" s="14">
        <v>41061</v>
      </c>
      <c r="B167" s="13">
        <f>168465349960.572/(10^9)</f>
        <v>168.46534996057198</v>
      </c>
      <c r="C167" s="13">
        <f>81353564364.1833/(10^9)</f>
        <v>81.353564364183299</v>
      </c>
      <c r="D167" s="13">
        <f>26780344795.4368/(10^9)</f>
        <v>26.780344795436797</v>
      </c>
      <c r="E167" s="13">
        <f>34532422883.2159/(10^9)</f>
        <v>34.532422883215894</v>
      </c>
      <c r="F167" s="13">
        <f>7939705707.38099/(10^9)</f>
        <v>7.9397057073809902</v>
      </c>
      <c r="G167" s="13">
        <f>284538964827.573/(10^9)</f>
        <v>284.53896482757301</v>
      </c>
      <c r="H167" s="34">
        <f t="shared" si="9"/>
        <v>14.682430818353009</v>
      </c>
      <c r="I167" s="13">
        <f>292291042915.353/(10^9)</f>
        <v>292.29104291535305</v>
      </c>
      <c r="J167" s="34">
        <f t="shared" si="8"/>
        <v>11.866743679092927</v>
      </c>
      <c r="K167" s="34">
        <f t="shared" si="8"/>
        <v>17.84753353796571</v>
      </c>
      <c r="L167" s="34">
        <f t="shared" si="8"/>
        <v>23.150273362074802</v>
      </c>
      <c r="M167" s="34">
        <f t="shared" si="8"/>
        <v>15.161783912957594</v>
      </c>
      <c r="N167" s="34">
        <f t="shared" si="8"/>
        <v>17.857420264950985</v>
      </c>
      <c r="O167" s="42">
        <f t="shared" si="10"/>
        <v>14.020179095199548</v>
      </c>
      <c r="P167" s="38">
        <v>0</v>
      </c>
      <c r="Q167" s="38">
        <v>0</v>
      </c>
    </row>
    <row r="168" spans="1:17" x14ac:dyDescent="0.25">
      <c r="A168" s="14">
        <v>41091</v>
      </c>
      <c r="B168" s="13">
        <f>170382734126.574/(10^9)</f>
        <v>170.38273412657401</v>
      </c>
      <c r="C168" s="13">
        <f>82384281930.3178/(10^9)</f>
        <v>82.384281930317798</v>
      </c>
      <c r="D168" s="13">
        <f>26480173948.1949/(10^9)</f>
        <v>26.480173948194899</v>
      </c>
      <c r="E168" s="13">
        <f>34020785758.0959/(10^9)</f>
        <v>34.020785758095904</v>
      </c>
      <c r="F168" s="13">
        <f>8080884732.10762/(10^9)</f>
        <v>8.08088473210762</v>
      </c>
      <c r="G168" s="13">
        <f>287328074737.194/(10^9)</f>
        <v>287.32807473719396</v>
      </c>
      <c r="H168" s="34">
        <f t="shared" si="9"/>
        <v>14.157047790514499</v>
      </c>
      <c r="I168" s="13">
        <f>294868686547.095/(10^9)</f>
        <v>294.86868654709497</v>
      </c>
      <c r="J168" s="34">
        <f t="shared" si="8"/>
        <v>11.830843047919281</v>
      </c>
      <c r="K168" s="34">
        <f t="shared" si="8"/>
        <v>17.416687987602096</v>
      </c>
      <c r="L168" s="34">
        <f t="shared" si="8"/>
        <v>18.599956969359475</v>
      </c>
      <c r="M168" s="34">
        <f t="shared" si="8"/>
        <v>12.00902012770908</v>
      </c>
      <c r="N168" s="34">
        <f t="shared" si="8"/>
        <v>18.028661230558818</v>
      </c>
      <c r="O168" s="42">
        <f t="shared" si="10"/>
        <v>13.523953522697552</v>
      </c>
      <c r="P168" s="38">
        <v>0</v>
      </c>
      <c r="Q168" s="38">
        <v>0</v>
      </c>
    </row>
    <row r="169" spans="1:17" x14ac:dyDescent="0.25">
      <c r="A169" s="14">
        <v>41122</v>
      </c>
      <c r="B169" s="13">
        <f>171229386424.869/(10^9)</f>
        <v>171.22938642486898</v>
      </c>
      <c r="C169" s="13">
        <f>83479098768.1951/(10^9)</f>
        <v>83.479098768195101</v>
      </c>
      <c r="D169" s="13">
        <f>26749830924.2005/(10^9)</f>
        <v>26.749830924200502</v>
      </c>
      <c r="E169" s="13">
        <f>34561229768.3689/(10^9)</f>
        <v>34.561229768368896</v>
      </c>
      <c r="F169" s="13">
        <f>8248573134.11039/(10^9)</f>
        <v>8.2485731341103889</v>
      </c>
      <c r="G169" s="13">
        <f>289706889251.375/(10^9)</f>
        <v>289.706889251375</v>
      </c>
      <c r="H169" s="34">
        <f t="shared" si="9"/>
        <v>13.141647030333026</v>
      </c>
      <c r="I169" s="13">
        <f>297518288095.543/(10^9)</f>
        <v>297.51828809554303</v>
      </c>
      <c r="J169" s="34">
        <f t="shared" si="8"/>
        <v>10.826900445330455</v>
      </c>
      <c r="K169" s="34">
        <f t="shared" si="8"/>
        <v>16.742406993399108</v>
      </c>
      <c r="L169" s="34">
        <f t="shared" si="8"/>
        <v>16.085307368065504</v>
      </c>
      <c r="M169" s="34">
        <f t="shared" si="8"/>
        <v>11.873508766321006</v>
      </c>
      <c r="N169" s="34">
        <f t="shared" si="8"/>
        <v>17.755726323388643</v>
      </c>
      <c r="O169" s="42">
        <f t="shared" si="10"/>
        <v>12.736169348169391</v>
      </c>
      <c r="P169" s="38">
        <v>0</v>
      </c>
      <c r="Q169" s="38">
        <v>0</v>
      </c>
    </row>
    <row r="170" spans="1:17" x14ac:dyDescent="0.25">
      <c r="A170" s="14">
        <v>41153</v>
      </c>
      <c r="B170" s="13">
        <f>172231795558.628/(10^9)</f>
        <v>172.23179555862799</v>
      </c>
      <c r="C170" s="13">
        <f>84150248767.3668/(10^9)</f>
        <v>84.150248767366804</v>
      </c>
      <c r="D170" s="13">
        <f>27315776842.4994/(10^9)</f>
        <v>27.3157768424994</v>
      </c>
      <c r="E170" s="13">
        <f>34950003612.6348/(10^9)</f>
        <v>34.950003612634802</v>
      </c>
      <c r="F170" s="13">
        <f>8389117041.40001/(10^9)</f>
        <v>8.3891170414000094</v>
      </c>
      <c r="G170" s="13">
        <f>292086938209.894/(10^9)</f>
        <v>292.08693820989396</v>
      </c>
      <c r="H170" s="34">
        <f t="shared" si="9"/>
        <v>11.988264729101306</v>
      </c>
      <c r="I170" s="13">
        <f>299721164980.029/(10^9)</f>
        <v>299.72116498002902</v>
      </c>
      <c r="J170" s="34">
        <f t="shared" si="8"/>
        <v>9.1602311259320288</v>
      </c>
      <c r="K170" s="34">
        <f t="shared" si="8"/>
        <v>15.887922024599209</v>
      </c>
      <c r="L170" s="34">
        <f t="shared" si="8"/>
        <v>17.32639388612278</v>
      </c>
      <c r="M170" s="34">
        <f t="shared" si="8"/>
        <v>11.671797320714749</v>
      </c>
      <c r="N170" s="34">
        <f t="shared" si="8"/>
        <v>17.412288957108135</v>
      </c>
      <c r="O170" s="42">
        <f t="shared" si="10"/>
        <v>11.48912435040006</v>
      </c>
      <c r="P170" s="38">
        <v>0</v>
      </c>
      <c r="Q170" s="38">
        <v>0</v>
      </c>
    </row>
    <row r="171" spans="1:17" x14ac:dyDescent="0.25">
      <c r="A171" s="14">
        <v>41183</v>
      </c>
      <c r="B171" s="13">
        <f>173836440146.954/(10^9)</f>
        <v>173.836440146954</v>
      </c>
      <c r="C171" s="13">
        <f>85135066965.8049/(10^9)</f>
        <v>85.135066965804896</v>
      </c>
      <c r="D171" s="13">
        <f>27909220395.9015/(10^9)</f>
        <v>27.9092203959015</v>
      </c>
      <c r="E171" s="13">
        <f>35359126144.236/(10^9)</f>
        <v>35.359126144236001</v>
      </c>
      <c r="F171" s="13">
        <f>8570050152.18802/(10^9)</f>
        <v>8.5700501521880206</v>
      </c>
      <c r="G171" s="13">
        <f>295450777660.849/(10^9)</f>
        <v>295.45077766084898</v>
      </c>
      <c r="H171" s="34">
        <f t="shared" si="9"/>
        <v>12.031390921408146</v>
      </c>
      <c r="I171" s="13">
        <f>302900683409.183/(10^9)</f>
        <v>302.90068340918299</v>
      </c>
      <c r="J171" s="34">
        <f t="shared" si="8"/>
        <v>9.500139945595576</v>
      </c>
      <c r="K171" s="34">
        <f t="shared" si="8"/>
        <v>15.485825098994699</v>
      </c>
      <c r="L171" s="34">
        <f t="shared" si="8"/>
        <v>16.675096312562232</v>
      </c>
      <c r="M171" s="34">
        <f t="shared" si="8"/>
        <v>11.410491672584877</v>
      </c>
      <c r="N171" s="34">
        <f t="shared" si="8"/>
        <v>16.959542870624421</v>
      </c>
      <c r="O171" s="42">
        <f t="shared" si="10"/>
        <v>11.549745012565005</v>
      </c>
      <c r="P171" s="38">
        <v>0</v>
      </c>
      <c r="Q171" s="38">
        <v>0</v>
      </c>
    </row>
    <row r="172" spans="1:17" x14ac:dyDescent="0.25">
      <c r="A172" s="14">
        <v>41214</v>
      </c>
      <c r="B172" s="13">
        <f>178225366324.778/(10^9)</f>
        <v>178.22536632477801</v>
      </c>
      <c r="C172" s="13">
        <f>86443972017.2994/(10^9)</f>
        <v>86.443972017299387</v>
      </c>
      <c r="D172" s="13">
        <f>28638039581.4765/(10^9)</f>
        <v>28.638039581476502</v>
      </c>
      <c r="E172" s="13">
        <f>35883466304.1801/(10^9)</f>
        <v>35.883466304180097</v>
      </c>
      <c r="F172" s="13">
        <f>8702037696.63863/(10^9)</f>
        <v>8.7020376966386301</v>
      </c>
      <c r="G172" s="13">
        <f>302009415620.192/(10^9)</f>
        <v>302.00941562019204</v>
      </c>
      <c r="H172" s="34">
        <f t="shared" si="9"/>
        <v>11.587584894029668</v>
      </c>
      <c r="I172" s="13">
        <f>309254842342.896/(10^9)</f>
        <v>309.25484234289598</v>
      </c>
      <c r="J172" s="34">
        <f t="shared" si="8"/>
        <v>8.7018201773210855</v>
      </c>
      <c r="K172" s="34">
        <f t="shared" si="8"/>
        <v>15.050126227608928</v>
      </c>
      <c r="L172" s="34">
        <f t="shared" si="8"/>
        <v>18.840500690049701</v>
      </c>
      <c r="M172" s="34">
        <f t="shared" si="8"/>
        <v>11.48160313545128</v>
      </c>
      <c r="N172" s="34">
        <f t="shared" si="8"/>
        <v>16.71138150406226</v>
      </c>
      <c r="O172" s="42">
        <f t="shared" si="10"/>
        <v>10.948305910917311</v>
      </c>
      <c r="P172" s="38">
        <v>0</v>
      </c>
      <c r="Q172" s="38">
        <v>0</v>
      </c>
    </row>
    <row r="173" spans="1:17" x14ac:dyDescent="0.25">
      <c r="A173" s="14">
        <v>41244</v>
      </c>
      <c r="B173" s="13">
        <f>181230674340.658/(10^9)</f>
        <v>181.230674340658</v>
      </c>
      <c r="C173" s="13">
        <f>87264232148.8687/(10^9)</f>
        <v>87.2642321488687</v>
      </c>
      <c r="D173" s="13">
        <f>29324029495.1461/(10^9)</f>
        <v>29.3240294951461</v>
      </c>
      <c r="E173" s="13">
        <f>36396834119.2523/(10^9)</f>
        <v>36.396834119252297</v>
      </c>
      <c r="F173" s="13">
        <f>8781513214.32666/(10^9)</f>
        <v>8.7815132143266599</v>
      </c>
      <c r="G173" s="13">
        <f>306600449199/(10^9)</f>
        <v>306.60044919900002</v>
      </c>
      <c r="H173" s="34">
        <f t="shared" si="9"/>
        <v>12.502096106613969</v>
      </c>
      <c r="I173" s="13">
        <f>313673253823.106/(10^9)</f>
        <v>313.67325382310599</v>
      </c>
      <c r="J173" s="34">
        <f t="shared" si="8"/>
        <v>10.457677776858665</v>
      </c>
      <c r="K173" s="34">
        <f t="shared" si="8"/>
        <v>14.461464891656828</v>
      </c>
      <c r="L173" s="34">
        <f t="shared" si="8"/>
        <v>18.691048356205652</v>
      </c>
      <c r="M173" s="34">
        <f t="shared" si="8"/>
        <v>11.660528444073215</v>
      </c>
      <c r="N173" s="34">
        <f t="shared" si="8"/>
        <v>16.915244202965283</v>
      </c>
      <c r="O173" s="42">
        <f t="shared" si="10"/>
        <v>11.858996062609716</v>
      </c>
      <c r="P173" s="38">
        <v>0</v>
      </c>
      <c r="Q173" s="38">
        <v>0</v>
      </c>
    </row>
    <row r="174" spans="1:17" x14ac:dyDescent="0.25">
      <c r="A174" s="14">
        <v>41275</v>
      </c>
      <c r="B174" s="13">
        <f>179938550627.15/(10^9)</f>
        <v>179.93855062714999</v>
      </c>
      <c r="C174" s="13">
        <f>87483983531.5093/(10^9)</f>
        <v>87.483983531509296</v>
      </c>
      <c r="D174" s="13">
        <f>29732092227.1937/(10^9)</f>
        <v>29.7320922271937</v>
      </c>
      <c r="E174" s="13">
        <f>36632607547.1108/(10^9)</f>
        <v>36.632607547110801</v>
      </c>
      <c r="F174" s="13">
        <f>8830447933.7899/(10^9)</f>
        <v>8.8304479337899</v>
      </c>
      <c r="G174" s="13">
        <f>305985074319.643/(10^9)</f>
        <v>305.98507431964299</v>
      </c>
      <c r="H174" s="34">
        <f t="shared" si="9"/>
        <v>12.979673716752881</v>
      </c>
      <c r="I174" s="13">
        <f>312885589639.56/(10^9)</f>
        <v>312.88558963956001</v>
      </c>
      <c r="J174" s="34">
        <f t="shared" si="8"/>
        <v>11.281525993115714</v>
      </c>
      <c r="K174" s="34">
        <f t="shared" si="8"/>
        <v>14.362181057958455</v>
      </c>
      <c r="L174" s="34">
        <f t="shared" si="8"/>
        <v>18.481758721542985</v>
      </c>
      <c r="M174" s="34">
        <f t="shared" si="8"/>
        <v>11.731972169391724</v>
      </c>
      <c r="N174" s="34">
        <f t="shared" si="8"/>
        <v>17.05672273722303</v>
      </c>
      <c r="O174" s="42">
        <f t="shared" si="10"/>
        <v>12.337079099446168</v>
      </c>
      <c r="P174" s="38">
        <v>0</v>
      </c>
      <c r="Q174" s="38">
        <v>0</v>
      </c>
    </row>
    <row r="175" spans="1:17" x14ac:dyDescent="0.25">
      <c r="A175" s="14">
        <v>41306</v>
      </c>
      <c r="B175" s="13">
        <f>180520454931.014/(10^9)</f>
        <v>180.520454931014</v>
      </c>
      <c r="C175" s="13">
        <f>87614012528.3207/(10^9)</f>
        <v>87.6140125283207</v>
      </c>
      <c r="D175" s="13">
        <f>30098683666.0057/(10^9)</f>
        <v>30.098683666005698</v>
      </c>
      <c r="E175" s="13">
        <f>36792194976.8109/(10^9)</f>
        <v>36.792194976810897</v>
      </c>
      <c r="F175" s="13">
        <f>8868229502.95395/(10^9)</f>
        <v>8.8682295029539517</v>
      </c>
      <c r="G175" s="13">
        <f>307101380628.295/(10^9)</f>
        <v>307.10138062829498</v>
      </c>
      <c r="H175" s="34">
        <f t="shared" si="9"/>
        <v>13.043622670646604</v>
      </c>
      <c r="I175" s="13">
        <f>313794891939.1/(10^9)</f>
        <v>313.79489193909995</v>
      </c>
      <c r="J175" s="34">
        <f t="shared" si="8"/>
        <v>11.487535145577832</v>
      </c>
      <c r="K175" s="34">
        <f t="shared" si="8"/>
        <v>13.560184130576246</v>
      </c>
      <c r="L175" s="34">
        <f t="shared" si="8"/>
        <v>20.294805073835054</v>
      </c>
      <c r="M175" s="34">
        <f t="shared" si="8"/>
        <v>11.575332166130249</v>
      </c>
      <c r="N175" s="34">
        <f t="shared" si="8"/>
        <v>17.094219825597335</v>
      </c>
      <c r="O175" s="42">
        <f t="shared" si="10"/>
        <v>12.221625823500904</v>
      </c>
      <c r="P175" s="38">
        <v>0</v>
      </c>
      <c r="Q175" s="38">
        <v>0</v>
      </c>
    </row>
    <row r="176" spans="1:17" x14ac:dyDescent="0.25">
      <c r="A176" s="14">
        <v>41334</v>
      </c>
      <c r="B176" s="13">
        <f>181719402008.973/(10^9)</f>
        <v>181.71940200897299</v>
      </c>
      <c r="C176" s="13">
        <f>88071199204.8687/(10^9)</f>
        <v>88.071199204868705</v>
      </c>
      <c r="D176" s="13">
        <f>30570801409.275/(10^9)</f>
        <v>30.570801409275003</v>
      </c>
      <c r="E176" s="13">
        <f>37101315286.4304/(10^9)</f>
        <v>37.101315286430399</v>
      </c>
      <c r="F176" s="13">
        <f>8940698256.70028/(10^9)</f>
        <v>8.94069825670028</v>
      </c>
      <c r="G176" s="13">
        <f>309302100879.817/(10^9)</f>
        <v>309.30210087981703</v>
      </c>
      <c r="H176" s="34">
        <f t="shared" si="9"/>
        <v>12.511908362338776</v>
      </c>
      <c r="I176" s="13">
        <f>315832614756.972/(10^9)</f>
        <v>315.83261475697196</v>
      </c>
      <c r="J176" s="34">
        <f t="shared" si="8"/>
        <v>11.242097417343677</v>
      </c>
      <c r="K176" s="34">
        <f t="shared" si="8"/>
        <v>12.532671464343004</v>
      </c>
      <c r="L176" s="34">
        <f t="shared" si="8"/>
        <v>19.333101113048489</v>
      </c>
      <c r="M176" s="34">
        <f t="shared" si="8"/>
        <v>11.103325532940156</v>
      </c>
      <c r="N176" s="34">
        <f t="shared" si="8"/>
        <v>16.561147613960369</v>
      </c>
      <c r="O176" s="42">
        <f t="shared" si="10"/>
        <v>11.727339634015754</v>
      </c>
      <c r="P176" s="38">
        <v>0</v>
      </c>
      <c r="Q176" s="38">
        <v>0</v>
      </c>
    </row>
    <row r="177" spans="1:17" x14ac:dyDescent="0.25">
      <c r="A177" s="14">
        <v>41365</v>
      </c>
      <c r="B177" s="13">
        <f>183542679674.948/(10^9)</f>
        <v>183.542679674948</v>
      </c>
      <c r="C177" s="13">
        <f>88856601077.5114/(10^9)</f>
        <v>88.856601077511399</v>
      </c>
      <c r="D177" s="13">
        <f>31151851755.7834/(10^9)</f>
        <v>31.151851755783401</v>
      </c>
      <c r="E177" s="13">
        <f>37492804604.7079/(10^9)</f>
        <v>37.492804604707899</v>
      </c>
      <c r="F177" s="13">
        <f>9083447885.97392/(10^9)</f>
        <v>9.0834478859739214</v>
      </c>
      <c r="G177" s="13">
        <f>312634580394.217/(10^9)</f>
        <v>312.63458039421698</v>
      </c>
      <c r="H177" s="34">
        <f t="shared" si="9"/>
        <v>12.489657653921205</v>
      </c>
      <c r="I177" s="13">
        <f>318975533243.141/(10^9)</f>
        <v>318.975533243141</v>
      </c>
      <c r="J177" s="34">
        <f t="shared" si="8"/>
        <v>11.411290004423137</v>
      </c>
      <c r="K177" s="34">
        <f t="shared" si="8"/>
        <v>12.015433221417027</v>
      </c>
      <c r="L177" s="34">
        <f t="shared" si="8"/>
        <v>19.20536655260403</v>
      </c>
      <c r="M177" s="34">
        <f t="shared" si="8"/>
        <v>11.077110238631738</v>
      </c>
      <c r="N177" s="34">
        <f t="shared" si="8"/>
        <v>17.640397920950001</v>
      </c>
      <c r="O177" s="42">
        <f t="shared" si="10"/>
        <v>11.708061320112773</v>
      </c>
      <c r="P177" s="38">
        <v>0</v>
      </c>
      <c r="Q177" s="38">
        <v>0</v>
      </c>
    </row>
    <row r="178" spans="1:17" x14ac:dyDescent="0.25">
      <c r="A178" s="14">
        <v>41395</v>
      </c>
      <c r="B178" s="13">
        <f>186456570450.482/(10^9)</f>
        <v>186.45657045048199</v>
      </c>
      <c r="C178" s="13">
        <f>89476198812.5739/(10^9)</f>
        <v>89.476198812573898</v>
      </c>
      <c r="D178" s="13">
        <f>31455614395.507/(10^9)</f>
        <v>31.455614395506998</v>
      </c>
      <c r="E178" s="13">
        <f>37990056290.8301/(10^9)</f>
        <v>37.990056290830104</v>
      </c>
      <c r="F178" s="13">
        <f>9222090490.64846/(10^9)</f>
        <v>9.2220904906484602</v>
      </c>
      <c r="G178" s="13">
        <f>316610474149.211/(10^9)</f>
        <v>316.61047414921097</v>
      </c>
      <c r="H178" s="34">
        <f t="shared" si="9"/>
        <v>12.477254666157368</v>
      </c>
      <c r="I178" s="13">
        <f>323144916044.534/(10^9)</f>
        <v>323.144916044534</v>
      </c>
      <c r="J178" s="34">
        <f t="shared" si="8"/>
        <v>11.638944217584047</v>
      </c>
      <c r="K178" s="34">
        <f t="shared" si="8"/>
        <v>11.267391737052401</v>
      </c>
      <c r="L178" s="34">
        <f t="shared" si="8"/>
        <v>19.876438674417152</v>
      </c>
      <c r="M178" s="34">
        <f t="shared" si="8"/>
        <v>11.213361193069527</v>
      </c>
      <c r="N178" s="34">
        <f t="shared" si="8"/>
        <v>17.99829704894773</v>
      </c>
      <c r="O178" s="42">
        <f t="shared" si="10"/>
        <v>11.657205091290624</v>
      </c>
      <c r="P178" s="38">
        <v>0</v>
      </c>
      <c r="Q178" s="38">
        <v>0</v>
      </c>
    </row>
    <row r="179" spans="1:17" x14ac:dyDescent="0.25">
      <c r="A179" s="14">
        <v>41426</v>
      </c>
      <c r="B179" s="13">
        <f>190079333250.806/(10^9)</f>
        <v>190.079333250806</v>
      </c>
      <c r="C179" s="13">
        <f>89886156266.9668/(10^9)</f>
        <v>89.886156266966793</v>
      </c>
      <c r="D179" s="13">
        <f>32165601338.7761/(10^9)</f>
        <v>32.165601338776099</v>
      </c>
      <c r="E179" s="13">
        <f>38400379472.1717/(10^9)</f>
        <v>38.4003794721717</v>
      </c>
      <c r="F179" s="13">
        <f>9317860730.56017/(10^9)</f>
        <v>9.3178607305601684</v>
      </c>
      <c r="G179" s="13">
        <f>321448951587.109/(10^9)</f>
        <v>321.44895158710904</v>
      </c>
      <c r="H179" s="34">
        <f t="shared" si="9"/>
        <v>12.971856695234351</v>
      </c>
      <c r="I179" s="13">
        <f>327683729720.504/(10^9)</f>
        <v>327.683729720504</v>
      </c>
      <c r="J179" s="34">
        <f t="shared" si="8"/>
        <v>12.829928110019416</v>
      </c>
      <c r="K179" s="34">
        <f t="shared" si="8"/>
        <v>10.488282805393645</v>
      </c>
      <c r="L179" s="34">
        <f t="shared" si="8"/>
        <v>20.108988829213725</v>
      </c>
      <c r="M179" s="34">
        <f t="shared" si="8"/>
        <v>11.20094179906439</v>
      </c>
      <c r="N179" s="34">
        <f t="shared" si="8"/>
        <v>17.357759518693538</v>
      </c>
      <c r="O179" s="42">
        <f t="shared" si="10"/>
        <v>12.108714126898711</v>
      </c>
      <c r="P179" s="38">
        <v>0</v>
      </c>
      <c r="Q179" s="38">
        <v>0</v>
      </c>
    </row>
    <row r="180" spans="1:17" x14ac:dyDescent="0.25">
      <c r="A180" s="14">
        <v>41456</v>
      </c>
      <c r="B180" s="13">
        <f>190230659563.556/(10^9)</f>
        <v>190.230659563556</v>
      </c>
      <c r="C180" s="13">
        <f>90899638915.6828/(10^9)</f>
        <v>90.8996389156828</v>
      </c>
      <c r="D180" s="13">
        <f>33139067611.9721/(10^9)</f>
        <v>33.139067611972102</v>
      </c>
      <c r="E180" s="13">
        <f>39089516630.3285/(10^9)</f>
        <v>39.089516630328497</v>
      </c>
      <c r="F180" s="13">
        <f>9497958802.40504/(10^9)</f>
        <v>9.4979588024050408</v>
      </c>
      <c r="G180" s="13">
        <f>323767324893.616/(10^9)</f>
        <v>323.76732489361603</v>
      </c>
      <c r="H180" s="34">
        <f t="shared" si="9"/>
        <v>12.682105704342117</v>
      </c>
      <c r="I180" s="13">
        <f>329717773911.973/(10^9)</f>
        <v>329.71777391197304</v>
      </c>
      <c r="J180" s="34">
        <f t="shared" si="8"/>
        <v>11.649023910038547</v>
      </c>
      <c r="K180" s="34">
        <f t="shared" si="8"/>
        <v>10.336142751802413</v>
      </c>
      <c r="L180" s="34">
        <f t="shared" si="8"/>
        <v>25.146714205142629</v>
      </c>
      <c r="M180" s="34">
        <f t="shared" si="8"/>
        <v>14.898923582405477</v>
      </c>
      <c r="N180" s="34">
        <f t="shared" si="8"/>
        <v>17.53612527929014</v>
      </c>
      <c r="O180" s="42">
        <f t="shared" si="10"/>
        <v>11.818510732000753</v>
      </c>
      <c r="P180" s="38">
        <v>0</v>
      </c>
      <c r="Q180" s="38">
        <v>0</v>
      </c>
    </row>
    <row r="181" spans="1:17" x14ac:dyDescent="0.25">
      <c r="A181" s="14">
        <v>41487</v>
      </c>
      <c r="B181" s="13">
        <f>192246652814.686/(10^9)</f>
        <v>192.246652814686</v>
      </c>
      <c r="C181" s="13">
        <f>91826415121.6446/(10^9)</f>
        <v>91.826415121644601</v>
      </c>
      <c r="D181" s="13">
        <f>33884620107.4919/(10^9)</f>
        <v>33.884620107491898</v>
      </c>
      <c r="E181" s="13">
        <f>39618357003.8881/(10^9)</f>
        <v>39.6183570038881</v>
      </c>
      <c r="F181" s="13">
        <f>9632219996.68126/(10^9)</f>
        <v>9.6322199966812594</v>
      </c>
      <c r="G181" s="13">
        <f>327589908040.504/(10^9)</f>
        <v>327.58990804050404</v>
      </c>
      <c r="H181" s="34">
        <f t="shared" si="9"/>
        <v>13.076326519891079</v>
      </c>
      <c r="I181" s="13">
        <f>333323644936.9/(10^9)</f>
        <v>333.32364493690005</v>
      </c>
      <c r="J181" s="34">
        <f t="shared" si="8"/>
        <v>12.274333762819879</v>
      </c>
      <c r="K181" s="34">
        <f t="shared" si="8"/>
        <v>9.9992890155993877</v>
      </c>
      <c r="L181" s="34">
        <f t="shared" si="8"/>
        <v>26.67227768096496</v>
      </c>
      <c r="M181" s="34">
        <f t="shared" si="8"/>
        <v>14.632370634414116</v>
      </c>
      <c r="N181" s="34">
        <f t="shared" si="8"/>
        <v>16.774378308523019</v>
      </c>
      <c r="O181" s="42">
        <f t="shared" si="10"/>
        <v>12.034674261724287</v>
      </c>
      <c r="P181" s="38">
        <v>0</v>
      </c>
      <c r="Q181" s="38">
        <v>0</v>
      </c>
    </row>
    <row r="182" spans="1:17" x14ac:dyDescent="0.25">
      <c r="A182" s="14">
        <v>41518</v>
      </c>
      <c r="B182" s="13">
        <f>194034491701.502/(10^9)</f>
        <v>194.03449170150202</v>
      </c>
      <c r="C182" s="13">
        <f>92632973014.562/(10^9)</f>
        <v>92.632973014561998</v>
      </c>
      <c r="D182" s="13">
        <f>34680673571.4704/(10^9)</f>
        <v>34.6806735714704</v>
      </c>
      <c r="E182" s="13">
        <f>40216039224.4913/(10^9)</f>
        <v>40.216039224491304</v>
      </c>
      <c r="F182" s="13">
        <f>9769252072.06418/(10^9)</f>
        <v>9.7692520720641802</v>
      </c>
      <c r="G182" s="13">
        <f>331117390359.598/(10^9)</f>
        <v>331.11739035959801</v>
      </c>
      <c r="H182" s="34">
        <f t="shared" si="9"/>
        <v>13.362614702632381</v>
      </c>
      <c r="I182" s="13">
        <f>336652756012.619/(10^9)</f>
        <v>336.65275601261902</v>
      </c>
      <c r="J182" s="34">
        <f t="shared" si="8"/>
        <v>12.658926345253342</v>
      </c>
      <c r="K182" s="34">
        <f t="shared" si="8"/>
        <v>10.080450588619971</v>
      </c>
      <c r="L182" s="34">
        <f t="shared" si="8"/>
        <v>26.962062149784028</v>
      </c>
      <c r="M182" s="34">
        <f t="shared" si="8"/>
        <v>15.067339249008761</v>
      </c>
      <c r="N182" s="34">
        <f t="shared" si="8"/>
        <v>16.451493331816103</v>
      </c>
      <c r="O182" s="42">
        <f t="shared" si="10"/>
        <v>12.321983012127568</v>
      </c>
      <c r="P182" s="38">
        <v>0</v>
      </c>
      <c r="Q182" s="38">
        <v>0</v>
      </c>
    </row>
    <row r="183" spans="1:17" x14ac:dyDescent="0.25">
      <c r="A183" s="14">
        <v>41548</v>
      </c>
      <c r="B183" s="13">
        <f>194339317678.309/(10^9)</f>
        <v>194.33931767830899</v>
      </c>
      <c r="C183" s="13">
        <f>93657917524.2587/(10^9)</f>
        <v>93.657917524258693</v>
      </c>
      <c r="D183" s="13">
        <f>35687624454.7234/(10^9)</f>
        <v>35.687624454723398</v>
      </c>
      <c r="E183" s="13">
        <f>41048398307.6975/(10^9)</f>
        <v>41.048398307697504</v>
      </c>
      <c r="F183" s="13">
        <f>9785100056.01796/(10^9)</f>
        <v>9.78510005601796</v>
      </c>
      <c r="G183" s="13">
        <f>333469959713.309/(10^9)</f>
        <v>333.46995971330904</v>
      </c>
      <c r="H183" s="34">
        <f t="shared" si="9"/>
        <v>12.86819495059941</v>
      </c>
      <c r="I183" s="13">
        <f>338830733566.283/(10^9)</f>
        <v>338.83073356628302</v>
      </c>
      <c r="J183" s="34">
        <f t="shared" si="8"/>
        <v>11.794349627743594</v>
      </c>
      <c r="K183" s="34">
        <f t="shared" si="8"/>
        <v>10.010975338607597</v>
      </c>
      <c r="L183" s="34">
        <f t="shared" si="8"/>
        <v>27.87037383517945</v>
      </c>
      <c r="M183" s="34">
        <f t="shared" si="8"/>
        <v>16.089968231267871</v>
      </c>
      <c r="N183" s="34">
        <f t="shared" si="8"/>
        <v>14.177862232459916</v>
      </c>
      <c r="O183" s="42">
        <f t="shared" si="10"/>
        <v>11.861990455981509</v>
      </c>
      <c r="P183" s="38">
        <v>0</v>
      </c>
      <c r="Q183" s="38">
        <v>0</v>
      </c>
    </row>
    <row r="184" spans="1:17" x14ac:dyDescent="0.25">
      <c r="A184" s="14">
        <v>41579</v>
      </c>
      <c r="B184" s="13">
        <f>196732166610.139/(10^9)</f>
        <v>196.73216661013902</v>
      </c>
      <c r="C184" s="13">
        <f>94765509966.3475/(10^9)</f>
        <v>94.765509966347508</v>
      </c>
      <c r="D184" s="13">
        <f>36648390672.7308/(10^9)</f>
        <v>36.648390672730798</v>
      </c>
      <c r="E184" s="13">
        <f>41865718522.1229/(10^9)</f>
        <v>41.865718522122904</v>
      </c>
      <c r="F184" s="13">
        <f>9943956057.65739/(10^9)</f>
        <v>9.94395605765739</v>
      </c>
      <c r="G184" s="13">
        <f>338090023306.875/(10^9)</f>
        <v>338.09002330687503</v>
      </c>
      <c r="H184" s="34">
        <f t="shared" si="9"/>
        <v>11.94684861483195</v>
      </c>
      <c r="I184" s="13">
        <f>343307351156.267/(10^9)</f>
        <v>343.30735115626703</v>
      </c>
      <c r="J184" s="34">
        <f t="shared" si="8"/>
        <v>10.383931685479775</v>
      </c>
      <c r="K184" s="34">
        <f t="shared" si="8"/>
        <v>9.6265103914739072</v>
      </c>
      <c r="L184" s="34">
        <f t="shared" si="8"/>
        <v>27.971017598688942</v>
      </c>
      <c r="M184" s="34">
        <f t="shared" si="8"/>
        <v>16.671333162833069</v>
      </c>
      <c r="N184" s="34">
        <f t="shared" si="8"/>
        <v>14.271581028642078</v>
      </c>
      <c r="O184" s="42">
        <f t="shared" si="10"/>
        <v>11.011148137694882</v>
      </c>
      <c r="P184" s="38">
        <v>0</v>
      </c>
      <c r="Q184" s="38">
        <v>0</v>
      </c>
    </row>
    <row r="185" spans="1:17" x14ac:dyDescent="0.25">
      <c r="A185" s="43">
        <v>41609</v>
      </c>
      <c r="B185" s="13">
        <f>197207472586.494/(10^9)</f>
        <v>197.20747258649399</v>
      </c>
      <c r="C185" s="13">
        <f>95408675686.975/(10^9)</f>
        <v>95.408675686975002</v>
      </c>
      <c r="D185" s="13">
        <f>37429896572.9714/(10^9)</f>
        <v>37.429896572971394</v>
      </c>
      <c r="E185" s="13">
        <f>42473902028.2754/(10^9)</f>
        <v>42.473902028275397</v>
      </c>
      <c r="F185" s="13">
        <f>10066712981.2337/(10^9)</f>
        <v>10.0667129812337</v>
      </c>
      <c r="G185" s="13">
        <f>340112757827.674/(10^9)</f>
        <v>340.11275782767399</v>
      </c>
      <c r="H185" s="34">
        <f t="shared" si="9"/>
        <v>10.930286865601646</v>
      </c>
      <c r="I185" s="13">
        <f>345156763282.978/(10^9)</f>
        <v>345.15676328297803</v>
      </c>
      <c r="J185" s="34">
        <f t="shared" si="8"/>
        <v>8.8157252098530101</v>
      </c>
      <c r="K185" s="34">
        <f t="shared" si="8"/>
        <v>9.3330833693835213</v>
      </c>
      <c r="L185" s="34">
        <f t="shared" si="8"/>
        <v>27.642405281194481</v>
      </c>
      <c r="M185" s="34">
        <f t="shared" si="8"/>
        <v>16.696693698995666</v>
      </c>
      <c r="N185" s="34">
        <f t="shared" si="8"/>
        <v>14.635288196233564</v>
      </c>
      <c r="O185" s="42">
        <f t="shared" si="10"/>
        <v>10.037039841983763</v>
      </c>
      <c r="P185" s="38">
        <v>0</v>
      </c>
      <c r="Q185" s="38">
        <v>0</v>
      </c>
    </row>
    <row r="186" spans="1:17" x14ac:dyDescent="0.25">
      <c r="A186" s="14">
        <v>41640</v>
      </c>
      <c r="B186" s="13">
        <f>197483627066.201/(10^9)</f>
        <v>197.483627066201</v>
      </c>
      <c r="C186" s="13">
        <f>95451725761.8118/(10^9)</f>
        <v>95.451725761811801</v>
      </c>
      <c r="D186" s="13">
        <f>37956027622.9341/(10^9)</f>
        <v>37.956027622934094</v>
      </c>
      <c r="E186" s="13">
        <f>42846735671.5549/(10^9)</f>
        <v>42.846735671554903</v>
      </c>
      <c r="F186" s="13">
        <f>10032829349.7926/(10^9)</f>
        <v>10.0328293497926</v>
      </c>
      <c r="G186" s="13">
        <f>340924209800.739/(10^9)</f>
        <v>340.92420980073899</v>
      </c>
      <c r="H186" s="34">
        <f t="shared" si="9"/>
        <v>11.418575091867833</v>
      </c>
      <c r="I186" s="13">
        <f>345814917849.36/(10^9)</f>
        <v>345.81491784935997</v>
      </c>
      <c r="J186" s="34">
        <f t="shared" si="8"/>
        <v>9.7505933986353313</v>
      </c>
      <c r="K186" s="34">
        <f t="shared" si="8"/>
        <v>9.1076582348730728</v>
      </c>
      <c r="L186" s="34">
        <f t="shared" si="8"/>
        <v>27.660130114282989</v>
      </c>
      <c r="M186" s="34">
        <f t="shared" si="8"/>
        <v>16.96337918738795</v>
      </c>
      <c r="N186" s="34">
        <f t="shared" si="8"/>
        <v>13.616312841863444</v>
      </c>
      <c r="O186" s="42">
        <f t="shared" si="10"/>
        <v>10.524399109506488</v>
      </c>
      <c r="P186" s="38">
        <v>0</v>
      </c>
      <c r="Q186" s="38">
        <v>0</v>
      </c>
    </row>
    <row r="187" spans="1:17" x14ac:dyDescent="0.25">
      <c r="A187" s="14">
        <v>41671</v>
      </c>
      <c r="B187" s="13">
        <f>199276039329.993/(10^9)</f>
        <v>199.27603932999301</v>
      </c>
      <c r="C187" s="13">
        <f>95387385577.7212/(10^9)</f>
        <v>95.387385577721204</v>
      </c>
      <c r="D187" s="13">
        <f>38469967741.9507/(10^9)</f>
        <v>38.469967741950697</v>
      </c>
      <c r="E187" s="13">
        <f>43207962649.1742/(10^9)</f>
        <v>43.207962649174199</v>
      </c>
      <c r="F187" s="13">
        <f>10011290626.4183/(10^9)</f>
        <v>10.011290626418301</v>
      </c>
      <c r="G187" s="13">
        <f>343144683276.083/(10^9)</f>
        <v>343.14468327608301</v>
      </c>
      <c r="H187" s="34">
        <f t="shared" si="9"/>
        <v>11.736613679185503</v>
      </c>
      <c r="I187" s="13">
        <f>347882678183.307/(10^9)</f>
        <v>347.88267818330701</v>
      </c>
      <c r="J187" s="34">
        <f t="shared" si="8"/>
        <v>10.389728081588579</v>
      </c>
      <c r="K187" s="34">
        <f t="shared" si="8"/>
        <v>8.8722943112413688</v>
      </c>
      <c r="L187" s="34">
        <f t="shared" si="8"/>
        <v>27.812791312863162</v>
      </c>
      <c r="M187" s="34">
        <f t="shared" si="8"/>
        <v>17.4378497298326</v>
      </c>
      <c r="N187" s="34">
        <f t="shared" si="8"/>
        <v>12.889394924698362</v>
      </c>
      <c r="O187" s="42">
        <f t="shared" si="10"/>
        <v>10.863078756177668</v>
      </c>
      <c r="P187" s="38">
        <v>0</v>
      </c>
      <c r="Q187" s="38">
        <v>0</v>
      </c>
    </row>
    <row r="188" spans="1:17" x14ac:dyDescent="0.25">
      <c r="A188" s="14">
        <v>41699</v>
      </c>
      <c r="B188" s="13">
        <f>200587467675.429/(10^9)</f>
        <v>200.587467675429</v>
      </c>
      <c r="C188" s="13">
        <f>95721454401.8549/(10^9)</f>
        <v>95.721454401854899</v>
      </c>
      <c r="D188" s="13">
        <f>39002975507.8617/(10^9)</f>
        <v>39.002975507861699</v>
      </c>
      <c r="E188" s="13">
        <f>43606710118.5349/(10^9)</f>
        <v>43.606710118534899</v>
      </c>
      <c r="F188" s="13">
        <f>10114178508.6316/(10^9)</f>
        <v>10.1141785086316</v>
      </c>
      <c r="G188" s="13">
        <f>345426076093.777/(10^9)</f>
        <v>345.426076093777</v>
      </c>
      <c r="H188" s="34">
        <f t="shared" si="9"/>
        <v>11.679188441075716</v>
      </c>
      <c r="I188" s="13">
        <f>350029810704.45/(10^9)</f>
        <v>350.02981070445003</v>
      </c>
      <c r="J188" s="34">
        <f t="shared" si="8"/>
        <v>10.383077127627981</v>
      </c>
      <c r="K188" s="34">
        <f t="shared" si="8"/>
        <v>8.6864437705570285</v>
      </c>
      <c r="L188" s="34">
        <f t="shared" si="8"/>
        <v>27.582443736749475</v>
      </c>
      <c r="M188" s="34">
        <f t="shared" si="8"/>
        <v>17.534135331541222</v>
      </c>
      <c r="N188" s="34">
        <f t="shared" si="8"/>
        <v>13.125152177593048</v>
      </c>
      <c r="O188" s="42">
        <f t="shared" si="10"/>
        <v>10.827632850328728</v>
      </c>
      <c r="P188" s="38">
        <v>0</v>
      </c>
      <c r="Q188" s="38">
        <v>0</v>
      </c>
    </row>
    <row r="189" spans="1:17" x14ac:dyDescent="0.25">
      <c r="A189" s="14">
        <v>41730</v>
      </c>
      <c r="B189" s="13">
        <f>202769702577.635/(10^9)</f>
        <v>202.769702577635</v>
      </c>
      <c r="C189" s="13">
        <f>96424446449.7056/(10^9)</f>
        <v>96.424446449705599</v>
      </c>
      <c r="D189" s="13">
        <f>39600367607.2497/(10^9)</f>
        <v>39.600367607249702</v>
      </c>
      <c r="E189" s="13">
        <f>44075984917.3362/(10^9)</f>
        <v>44.0759849173362</v>
      </c>
      <c r="F189" s="13">
        <f>10186362128.276/(10^9)</f>
        <v>10.186362128275999</v>
      </c>
      <c r="G189" s="13">
        <f>348980878762.866/(10^9)</f>
        <v>348.98087876286604</v>
      </c>
      <c r="H189" s="34">
        <f t="shared" si="9"/>
        <v>11.625808739013488</v>
      </c>
      <c r="I189" s="13">
        <f>353456496072.953/(10^9)</f>
        <v>353.45649607295303</v>
      </c>
      <c r="J189" s="34">
        <f t="shared" si="8"/>
        <v>10.475505172278087</v>
      </c>
      <c r="K189" s="34">
        <f t="shared" si="8"/>
        <v>8.5169197115615667</v>
      </c>
      <c r="L189" s="34">
        <f t="shared" si="8"/>
        <v>27.120429044471873</v>
      </c>
      <c r="M189" s="34">
        <f t="shared" si="8"/>
        <v>17.558516579476336</v>
      </c>
      <c r="N189" s="34">
        <f t="shared" si="8"/>
        <v>12.1420220179292</v>
      </c>
      <c r="O189" s="42">
        <f t="shared" si="10"/>
        <v>10.809908358560127</v>
      </c>
      <c r="P189" s="38">
        <v>0</v>
      </c>
      <c r="Q189" s="38">
        <v>0</v>
      </c>
    </row>
    <row r="190" spans="1:17" x14ac:dyDescent="0.25">
      <c r="A190" s="14">
        <v>41760</v>
      </c>
      <c r="B190" s="13">
        <f>205295759618.227/(10^9)</f>
        <v>205.29575961822698</v>
      </c>
      <c r="C190" s="13">
        <f>97395244151.3885/(10^9)</f>
        <v>97.395244151388511</v>
      </c>
      <c r="D190" s="13">
        <f>40378254869.6742/(10^9)</f>
        <v>40.378254869674201</v>
      </c>
      <c r="E190" s="13">
        <f>44892496472.7357/(10^9)</f>
        <v>44.892496472735701</v>
      </c>
      <c r="F190" s="13">
        <f>10282034529.5595/(10^9)</f>
        <v>10.2820345295595</v>
      </c>
      <c r="G190" s="13">
        <f>353351293168.849/(10^9)</f>
        <v>353.351293168849</v>
      </c>
      <c r="H190" s="34">
        <f t="shared" si="9"/>
        <v>11.604423106458238</v>
      </c>
      <c r="I190" s="13">
        <f>357865534771.911/(10^9)</f>
        <v>357.86553477191103</v>
      </c>
      <c r="J190" s="34">
        <f t="shared" si="8"/>
        <v>10.103794745462281</v>
      </c>
      <c r="K190" s="34">
        <f t="shared" si="8"/>
        <v>8.8504489952715417</v>
      </c>
      <c r="L190" s="34">
        <f t="shared" si="8"/>
        <v>28.365812099482234</v>
      </c>
      <c r="M190" s="34">
        <f t="shared" si="8"/>
        <v>18.169070688036015</v>
      </c>
      <c r="N190" s="34">
        <f t="shared" si="8"/>
        <v>11.493533271939382</v>
      </c>
      <c r="O190" s="42">
        <f t="shared" si="10"/>
        <v>10.744596929568285</v>
      </c>
      <c r="P190" s="38">
        <v>0</v>
      </c>
      <c r="Q190" s="38">
        <v>0</v>
      </c>
    </row>
    <row r="191" spans="1:17" x14ac:dyDescent="0.25">
      <c r="A191" s="5">
        <v>41791</v>
      </c>
      <c r="B191" s="13">
        <f>208171784413.792/(10^9)</f>
        <v>208.17178441379198</v>
      </c>
      <c r="C191" s="13">
        <f>97914141730.953/(10^9)</f>
        <v>97.914141730953006</v>
      </c>
      <c r="D191" s="13">
        <f>40957415347.7402/(10^9)</f>
        <v>40.957415347740195</v>
      </c>
      <c r="E191" s="13">
        <f>45370923558.3844/(10^9)</f>
        <v>45.370923558384398</v>
      </c>
      <c r="F191" s="13">
        <f>10326507124.2413/(10^9)</f>
        <v>10.326507124241301</v>
      </c>
      <c r="G191" s="13">
        <f>357369848616.727/(10^9)</f>
        <v>357.36984861672698</v>
      </c>
      <c r="H191" s="34">
        <f t="shared" si="9"/>
        <v>11.174681656998287</v>
      </c>
      <c r="I191" s="13">
        <f>361783356827.371/(10^9)</f>
        <v>361.78335682737099</v>
      </c>
      <c r="J191" s="34">
        <f t="shared" ref="J191:N234" si="11">((B191/B179)-1)*100</f>
        <v>9.5183683852222636</v>
      </c>
      <c r="K191" s="34">
        <f t="shared" si="11"/>
        <v>8.9312812978036948</v>
      </c>
      <c r="L191" s="34">
        <f t="shared" si="11"/>
        <v>27.332969517238404</v>
      </c>
      <c r="M191" s="34">
        <f t="shared" si="11"/>
        <v>18.152279175428898</v>
      </c>
      <c r="N191" s="34">
        <f t="shared" si="11"/>
        <v>10.824870888797822</v>
      </c>
      <c r="O191" s="42">
        <f t="shared" si="10"/>
        <v>10.406261896479286</v>
      </c>
      <c r="P191" s="38">
        <v>0</v>
      </c>
      <c r="Q191" s="38">
        <v>0</v>
      </c>
    </row>
    <row r="192" spans="1:17" x14ac:dyDescent="0.25">
      <c r="A192" s="5">
        <v>41821</v>
      </c>
      <c r="B192" s="13">
        <f>208067702551.045/(10^9)</f>
        <v>208.06770255104502</v>
      </c>
      <c r="C192" s="13">
        <f>98902218941.3637/(10^9)</f>
        <v>98.902218941363699</v>
      </c>
      <c r="D192" s="13">
        <f>41624166198.4184/(10^9)</f>
        <v>41.624166198418401</v>
      </c>
      <c r="E192" s="13">
        <f>45905216509.1681/(10^9)</f>
        <v>45.905216509168099</v>
      </c>
      <c r="F192" s="13">
        <f>10419753037.1838/(10^9)</f>
        <v>10.419753037183799</v>
      </c>
      <c r="G192" s="13">
        <f>359013840728.011/(10^9)</f>
        <v>359.01384072801096</v>
      </c>
      <c r="H192" s="34">
        <f t="shared" si="9"/>
        <v>10.886372133437572</v>
      </c>
      <c r="I192" s="13">
        <f>363294891038.761/(10^9)</f>
        <v>363.29489103876097</v>
      </c>
      <c r="J192" s="34">
        <f t="shared" si="11"/>
        <v>9.3765342707701862</v>
      </c>
      <c r="K192" s="34">
        <f t="shared" si="11"/>
        <v>8.8037533714561569</v>
      </c>
      <c r="L192" s="34">
        <f t="shared" si="11"/>
        <v>25.60451816508229</v>
      </c>
      <c r="M192" s="34">
        <f t="shared" si="11"/>
        <v>17.436132411909867</v>
      </c>
      <c r="N192" s="34">
        <f t="shared" si="11"/>
        <v>9.705182491898622</v>
      </c>
      <c r="O192" s="42">
        <f t="shared" si="10"/>
        <v>10.183593298113269</v>
      </c>
      <c r="P192" s="38">
        <v>0</v>
      </c>
      <c r="Q192" s="38">
        <v>0</v>
      </c>
    </row>
    <row r="193" spans="1:17" x14ac:dyDescent="0.25">
      <c r="A193" s="5">
        <v>41852</v>
      </c>
      <c r="B193" s="13">
        <f>209036048848.385/(10^9)</f>
        <v>209.03604884838501</v>
      </c>
      <c r="C193" s="13">
        <f>99846114933.8521/(10^9)</f>
        <v>99.846114933852093</v>
      </c>
      <c r="D193" s="13">
        <f>42227383900.6638/(10^9)</f>
        <v>42.227383900663803</v>
      </c>
      <c r="E193" s="13">
        <f>46411388318.1499/(10^9)</f>
        <v>46.411388318149903</v>
      </c>
      <c r="F193" s="13">
        <f>10493722057.206/(10^9)</f>
        <v>10.493722057206</v>
      </c>
      <c r="G193" s="13">
        <f>361603269740.107/(10^9)</f>
        <v>361.60326974010701</v>
      </c>
      <c r="H193" s="34">
        <f t="shared" si="9"/>
        <v>10.382908894555287</v>
      </c>
      <c r="I193" s="13">
        <f>365787274157.594/(10^9)</f>
        <v>365.78727415759397</v>
      </c>
      <c r="J193" s="34">
        <f t="shared" si="11"/>
        <v>8.7332579204294269</v>
      </c>
      <c r="K193" s="34">
        <f t="shared" si="11"/>
        <v>8.7335433944400584</v>
      </c>
      <c r="L193" s="34">
        <f t="shared" si="11"/>
        <v>24.621092893195275</v>
      </c>
      <c r="M193" s="34">
        <f t="shared" si="11"/>
        <v>17.146171189267491</v>
      </c>
      <c r="N193" s="34">
        <f t="shared" si="11"/>
        <v>8.9439616290073012</v>
      </c>
      <c r="O193" s="42">
        <f t="shared" si="10"/>
        <v>9.7393718428944389</v>
      </c>
      <c r="P193" s="38">
        <v>0</v>
      </c>
      <c r="Q193" s="38">
        <v>0</v>
      </c>
    </row>
    <row r="194" spans="1:17" x14ac:dyDescent="0.25">
      <c r="A194" s="5">
        <v>41883</v>
      </c>
      <c r="B194" s="13">
        <f>210186156945.751/(10^9)</f>
        <v>210.18615694575101</v>
      </c>
      <c r="C194" s="13">
        <f>101128874414.768/(10^9)</f>
        <v>101.12887441476801</v>
      </c>
      <c r="D194" s="13">
        <f>42329232826.9276/(10^9)</f>
        <v>42.329232826927594</v>
      </c>
      <c r="E194" s="13">
        <f>46976232495.9106/(10^9)</f>
        <v>46.976232495910601</v>
      </c>
      <c r="F194" s="13">
        <f>10591460530.0389/(10^9)</f>
        <v>10.5914605300389</v>
      </c>
      <c r="G194" s="13">
        <f>364235724717.486/(10^9)</f>
        <v>364.23572471748605</v>
      </c>
      <c r="H194" s="34">
        <f t="shared" si="9"/>
        <v>10.001991837976586</v>
      </c>
      <c r="I194" s="13">
        <f>368882724386.469/(10^9)</f>
        <v>368.88272438646902</v>
      </c>
      <c r="J194" s="34">
        <f t="shared" si="11"/>
        <v>8.3241206770063858</v>
      </c>
      <c r="K194" s="34">
        <f t="shared" si="11"/>
        <v>9.1715737104437256</v>
      </c>
      <c r="L194" s="34">
        <f t="shared" si="11"/>
        <v>22.05424078541882</v>
      </c>
      <c r="M194" s="34">
        <f t="shared" si="11"/>
        <v>16.809694345290936</v>
      </c>
      <c r="N194" s="34">
        <f t="shared" si="11"/>
        <v>8.4162886975337479</v>
      </c>
      <c r="O194" s="42">
        <f t="shared" si="10"/>
        <v>9.5736535044560469</v>
      </c>
      <c r="P194" s="38">
        <v>0</v>
      </c>
      <c r="Q194" s="38">
        <v>0</v>
      </c>
    </row>
    <row r="195" spans="1:17" x14ac:dyDescent="0.25">
      <c r="A195" s="5">
        <v>41913</v>
      </c>
      <c r="B195" s="13">
        <f>211463833157.943/(10^9)</f>
        <v>211.46383315794299</v>
      </c>
      <c r="C195" s="13">
        <f>102285947889.995/(10^9)</f>
        <v>102.285947889995</v>
      </c>
      <c r="D195" s="13">
        <f>43040214746.1315/(10^9)</f>
        <v>43.040214746131497</v>
      </c>
      <c r="E195" s="13">
        <f>47565830794.1966/(10^9)</f>
        <v>47.5658307941966</v>
      </c>
      <c r="F195" s="13">
        <f>10663381544.535/(10^9)</f>
        <v>10.663381544535</v>
      </c>
      <c r="G195" s="13">
        <f>367453377338.604/(10^9)</f>
        <v>367.45337733860401</v>
      </c>
      <c r="H195" s="34">
        <f t="shared" si="9"/>
        <v>10.19084827146386</v>
      </c>
      <c r="I195" s="13">
        <f>371978993386.669/(10^9)</f>
        <v>371.978993386669</v>
      </c>
      <c r="J195" s="34">
        <f t="shared" si="11"/>
        <v>8.8116577150797237</v>
      </c>
      <c r="K195" s="34">
        <f t="shared" si="11"/>
        <v>9.212280812779694</v>
      </c>
      <c r="L195" s="34">
        <f t="shared" si="11"/>
        <v>20.602632996029957</v>
      </c>
      <c r="M195" s="34">
        <f t="shared" si="11"/>
        <v>15.87743433408686</v>
      </c>
      <c r="N195" s="34">
        <f t="shared" si="11"/>
        <v>8.9757026856039701</v>
      </c>
      <c r="O195" s="42">
        <f t="shared" si="10"/>
        <v>9.7831325604651695</v>
      </c>
      <c r="P195" s="38">
        <v>0</v>
      </c>
      <c r="Q195" s="38">
        <v>0</v>
      </c>
    </row>
    <row r="196" spans="1:17" x14ac:dyDescent="0.25">
      <c r="A196" s="5">
        <v>41944</v>
      </c>
      <c r="B196" s="13">
        <f>216657145532.459/(10^9)</f>
        <v>216.65714553245903</v>
      </c>
      <c r="C196" s="13">
        <f>103942322435.005/(10^9)</f>
        <v>103.94232243500501</v>
      </c>
      <c r="D196" s="13">
        <f>43633621029.4326/(10^9)</f>
        <v>43.633621029432604</v>
      </c>
      <c r="E196" s="13">
        <f>48061842783.0353/(10^9)</f>
        <v>48.061842783035303</v>
      </c>
      <c r="F196" s="13">
        <f>10713151461.3936/(10^9)</f>
        <v>10.713151461393601</v>
      </c>
      <c r="G196" s="13">
        <f>374946240458.29/(10^9)</f>
        <v>374.94624045828999</v>
      </c>
      <c r="H196" s="34">
        <f t="shared" si="9"/>
        <v>10.90130279235173</v>
      </c>
      <c r="I196" s="13">
        <f>379374462211.893/(10^9)</f>
        <v>379.37446221189299</v>
      </c>
      <c r="J196" s="34">
        <f t="shared" si="11"/>
        <v>10.127972087963144</v>
      </c>
      <c r="K196" s="34">
        <f t="shared" si="11"/>
        <v>9.6837050440780725</v>
      </c>
      <c r="L196" s="34">
        <f t="shared" si="11"/>
        <v>19.060128503539865</v>
      </c>
      <c r="M196" s="34">
        <f t="shared" si="11"/>
        <v>14.799995030870438</v>
      </c>
      <c r="N196" s="34">
        <f t="shared" si="11"/>
        <v>7.735305740253029</v>
      </c>
      <c r="O196" s="42">
        <f t="shared" si="10"/>
        <v>10.505778840491221</v>
      </c>
      <c r="P196" s="38">
        <v>0</v>
      </c>
      <c r="Q196" s="38">
        <v>0</v>
      </c>
    </row>
    <row r="197" spans="1:17" x14ac:dyDescent="0.25">
      <c r="A197" s="5">
        <v>41974</v>
      </c>
      <c r="B197" s="13">
        <f>220616685706.637/(10^9)</f>
        <v>220.61668570663699</v>
      </c>
      <c r="C197" s="13">
        <f>104416146299.415/(10^9)</f>
        <v>104.41614629941499</v>
      </c>
      <c r="D197" s="13">
        <f>43781977043.2975/(10^9)</f>
        <v>43.781977043297502</v>
      </c>
      <c r="E197" s="13">
        <f>48497888508.3912/(10^9)</f>
        <v>48.497888508391199</v>
      </c>
      <c r="F197" s="13">
        <f>10670145776.1978/(10^9)</f>
        <v>10.670145776197799</v>
      </c>
      <c r="G197" s="13">
        <f>379484954825.548/(10^9)</f>
        <v>379.48495482554796</v>
      </c>
      <c r="H197" s="34">
        <f t="shared" si="9"/>
        <v>11.576218795598026</v>
      </c>
      <c r="I197" s="13">
        <f>384200866290.641/(10^9)</f>
        <v>384.20086629064099</v>
      </c>
      <c r="J197" s="34">
        <f t="shared" si="11"/>
        <v>11.870347919942969</v>
      </c>
      <c r="K197" s="34">
        <f t="shared" si="11"/>
        <v>9.4409345351280862</v>
      </c>
      <c r="L197" s="34">
        <f t="shared" si="11"/>
        <v>16.970606525568186</v>
      </c>
      <c r="M197" s="34">
        <f t="shared" si="11"/>
        <v>14.182795063438158</v>
      </c>
      <c r="N197" s="34">
        <f t="shared" si="11"/>
        <v>5.9943379342295211</v>
      </c>
      <c r="O197" s="42">
        <f t="shared" si="10"/>
        <v>11.311991292389223</v>
      </c>
      <c r="P197" s="38">
        <v>0</v>
      </c>
      <c r="Q197" s="38">
        <v>0</v>
      </c>
    </row>
    <row r="198" spans="1:17" x14ac:dyDescent="0.25">
      <c r="A198" s="5">
        <v>42005</v>
      </c>
      <c r="B198" s="13">
        <f>225559565514.959/(10^9)</f>
        <v>225.55956551495902</v>
      </c>
      <c r="C198" s="13">
        <f>104218115950.746/(10^9)</f>
        <v>104.218115950746</v>
      </c>
      <c r="D198" s="13">
        <f>44054754996.6653/(10^9)</f>
        <v>44.054754996665295</v>
      </c>
      <c r="E198" s="13">
        <f>48658178323.5047/(10^9)</f>
        <v>48.6581783235047</v>
      </c>
      <c r="F198" s="13">
        <f>10619155384.0027/(10^9)</f>
        <v>10.619155384002701</v>
      </c>
      <c r="G198" s="13">
        <f>384451591846.372/(10^9)</f>
        <v>384.45159184637203</v>
      </c>
      <c r="H198" s="34">
        <f t="shared" si="9"/>
        <v>12.767465845582993</v>
      </c>
      <c r="I198" s="13">
        <f>389055015173.212/(10^9)</f>
        <v>389.05501517321198</v>
      </c>
      <c r="J198" s="34">
        <f t="shared" si="11"/>
        <v>14.216843626913089</v>
      </c>
      <c r="K198" s="34">
        <f t="shared" si="11"/>
        <v>9.1841086360341606</v>
      </c>
      <c r="L198" s="34">
        <f t="shared" si="11"/>
        <v>16.067875791212096</v>
      </c>
      <c r="M198" s="34">
        <f t="shared" si="11"/>
        <v>13.563326495856941</v>
      </c>
      <c r="N198" s="34">
        <f t="shared" si="11"/>
        <v>5.8440746250928877</v>
      </c>
      <c r="O198" s="42">
        <f t="shared" si="10"/>
        <v>12.503826495619187</v>
      </c>
      <c r="P198" s="38">
        <v>0</v>
      </c>
      <c r="Q198" s="38">
        <v>0</v>
      </c>
    </row>
    <row r="199" spans="1:17" x14ac:dyDescent="0.25">
      <c r="A199" s="5">
        <v>42036</v>
      </c>
      <c r="B199" s="13">
        <f>227360177801.845/(10^9)</f>
        <v>227.360177801845</v>
      </c>
      <c r="C199" s="13">
        <f>103984059867.63/(10^9)</f>
        <v>103.98405986763001</v>
      </c>
      <c r="D199" s="13">
        <f>44253730762.661/(10^9)</f>
        <v>44.253730762661</v>
      </c>
      <c r="E199" s="13">
        <f>48720300804.1974/(10^9)</f>
        <v>48.7203008041974</v>
      </c>
      <c r="F199" s="13">
        <f>11644826190.8313/(10^9)</f>
        <v>11.644826190831301</v>
      </c>
      <c r="G199" s="13">
        <f>387242794622.968/(10^9)</f>
        <v>387.24279462296801</v>
      </c>
      <c r="H199" s="34">
        <f t="shared" si="9"/>
        <v>12.85117138516323</v>
      </c>
      <c r="I199" s="13">
        <f>391709364664.504/(10^9)</f>
        <v>391.70936466450405</v>
      </c>
      <c r="J199" s="34">
        <f t="shared" si="11"/>
        <v>14.093083426525643</v>
      </c>
      <c r="K199" s="34">
        <f t="shared" si="11"/>
        <v>9.0123806600237231</v>
      </c>
      <c r="L199" s="34">
        <f t="shared" si="11"/>
        <v>15.034488875859475</v>
      </c>
      <c r="M199" s="34">
        <f t="shared" si="11"/>
        <v>12.757690520565546</v>
      </c>
      <c r="N199" s="34">
        <f t="shared" si="11"/>
        <v>16.316932804870767</v>
      </c>
      <c r="O199" s="42">
        <f t="shared" si="10"/>
        <v>12.598122651598009</v>
      </c>
      <c r="P199" s="38">
        <v>0</v>
      </c>
      <c r="Q199" s="38">
        <v>0</v>
      </c>
    </row>
    <row r="200" spans="1:17" x14ac:dyDescent="0.25">
      <c r="A200" s="5">
        <v>42064</v>
      </c>
      <c r="B200" s="13">
        <f>229227045142.985/(10^9)</f>
        <v>229.22704514298499</v>
      </c>
      <c r="C200" s="13">
        <f>104759823443.225/(10^9)</f>
        <v>104.759823443225</v>
      </c>
      <c r="D200" s="13">
        <f>44733903285.8551/(10^9)</f>
        <v>44.733903285855099</v>
      </c>
      <c r="E200" s="13">
        <f>49053571249.2915/(10^9)</f>
        <v>49.053571249291494</v>
      </c>
      <c r="F200" s="13">
        <f>11675587557.1968/(10^9)</f>
        <v>11.675587557196801</v>
      </c>
      <c r="G200" s="13">
        <f>390396359429.262/(10^9)</f>
        <v>390.39635942926202</v>
      </c>
      <c r="H200" s="34">
        <f t="shared" si="9"/>
        <v>13.018786492330815</v>
      </c>
      <c r="I200" s="13">
        <f>394716027392.698/(10^9)</f>
        <v>394.71602739269798</v>
      </c>
      <c r="J200" s="34">
        <f t="shared" si="11"/>
        <v>14.277849857448599</v>
      </c>
      <c r="K200" s="34">
        <f t="shared" si="11"/>
        <v>9.442364930463242</v>
      </c>
      <c r="L200" s="34">
        <f t="shared" si="11"/>
        <v>14.693565563576637</v>
      </c>
      <c r="M200" s="34">
        <f t="shared" si="11"/>
        <v>12.490878389932526</v>
      </c>
      <c r="N200" s="34">
        <f t="shared" si="11"/>
        <v>15.437823716801823</v>
      </c>
      <c r="O200" s="42">
        <f t="shared" si="10"/>
        <v>12.766403123869651</v>
      </c>
      <c r="P200" s="38">
        <v>0</v>
      </c>
      <c r="Q200" s="38">
        <v>0</v>
      </c>
    </row>
    <row r="201" spans="1:17" x14ac:dyDescent="0.25">
      <c r="A201" s="5">
        <v>42095</v>
      </c>
      <c r="B201" s="13">
        <f>228373637637.82/(10^9)</f>
        <v>228.37363763782</v>
      </c>
      <c r="C201" s="13">
        <f>105364985440.767/(10^9)</f>
        <v>105.364985440767</v>
      </c>
      <c r="D201" s="13">
        <f>45245682595.7265/(10^9)</f>
        <v>45.2456825957265</v>
      </c>
      <c r="E201" s="13">
        <f>49457230575.4157/(10^9)</f>
        <v>49.4572305754157</v>
      </c>
      <c r="F201" s="13">
        <f>11715949398.117/(10^9)</f>
        <v>11.715949398117001</v>
      </c>
      <c r="G201" s="13">
        <f>390700255072.43/(10^9)</f>
        <v>390.70025507242997</v>
      </c>
      <c r="H201" s="34">
        <f t="shared" si="9"/>
        <v>11.954630997967207</v>
      </c>
      <c r="I201" s="13">
        <f>394911803052.119/(10^9)</f>
        <v>394.91180305211901</v>
      </c>
      <c r="J201" s="34">
        <f t="shared" si="11"/>
        <v>12.627100959711646</v>
      </c>
      <c r="K201" s="34">
        <f t="shared" si="11"/>
        <v>9.2720667011811475</v>
      </c>
      <c r="L201" s="34">
        <f t="shared" si="11"/>
        <v>14.255713594545782</v>
      </c>
      <c r="M201" s="34">
        <f t="shared" si="11"/>
        <v>12.209019646802988</v>
      </c>
      <c r="N201" s="34">
        <f t="shared" si="11"/>
        <v>15.016030753462717</v>
      </c>
      <c r="O201" s="42">
        <f t="shared" si="10"/>
        <v>11.728545787035038</v>
      </c>
      <c r="P201" s="38">
        <v>0</v>
      </c>
      <c r="Q201" s="38">
        <v>0</v>
      </c>
    </row>
    <row r="202" spans="1:17" x14ac:dyDescent="0.25">
      <c r="A202" s="5">
        <v>42125</v>
      </c>
      <c r="B202" s="13">
        <f>232264411747.369/(10^9)</f>
        <v>232.264411747369</v>
      </c>
      <c r="C202" s="13">
        <f>105910533352.231/(10^9)</f>
        <v>105.910533352231</v>
      </c>
      <c r="D202" s="13">
        <f>45727419806.7506/(10^9)</f>
        <v>45.727419806750603</v>
      </c>
      <c r="E202" s="13">
        <f>49829705116.5574/(10^9)</f>
        <v>49.829705116557406</v>
      </c>
      <c r="F202" s="13">
        <f>11693731557.7267/(10^9)</f>
        <v>11.6937315577267</v>
      </c>
      <c r="G202" s="13">
        <f>395596096464.077/(10^9)</f>
        <v>395.59609646407705</v>
      </c>
      <c r="H202" s="34">
        <f t="shared" si="9"/>
        <v>11.955468711145013</v>
      </c>
      <c r="I202" s="13">
        <f>399698381773.884/(10^9)</f>
        <v>399.69838177388397</v>
      </c>
      <c r="J202" s="34">
        <f t="shared" si="11"/>
        <v>13.136487660190156</v>
      </c>
      <c r="K202" s="34">
        <f t="shared" si="11"/>
        <v>8.7430236199280476</v>
      </c>
      <c r="L202" s="34">
        <f t="shared" si="11"/>
        <v>13.247637755374742</v>
      </c>
      <c r="M202" s="34">
        <f t="shared" si="11"/>
        <v>10.997848263618382</v>
      </c>
      <c r="N202" s="34">
        <f t="shared" si="11"/>
        <v>13.729744090128815</v>
      </c>
      <c r="O202" s="42">
        <f t="shared" si="10"/>
        <v>11.689543400326464</v>
      </c>
      <c r="P202" s="38">
        <v>0</v>
      </c>
      <c r="Q202" s="38">
        <v>0</v>
      </c>
    </row>
    <row r="203" spans="1:17" x14ac:dyDescent="0.25">
      <c r="A203" s="5">
        <v>42156</v>
      </c>
      <c r="B203" s="13">
        <f>235467216697.795/(10^9)</f>
        <v>235.46721669779501</v>
      </c>
      <c r="C203" s="13">
        <f>107354639707.054/(10^9)</f>
        <v>107.35463970705401</v>
      </c>
      <c r="D203" s="13">
        <f>45843517686.1579/(10^9)</f>
        <v>45.843517686157895</v>
      </c>
      <c r="E203" s="13">
        <f>50256626927.9295/(10^9)</f>
        <v>50.256626927929496</v>
      </c>
      <c r="F203" s="13">
        <f>11724154210.6941/(10^9)</f>
        <v>11.724154210694099</v>
      </c>
      <c r="G203" s="13">
        <f>400389528301.701/(10^9)</f>
        <v>400.38952830170098</v>
      </c>
      <c r="H203" s="34">
        <f t="shared" si="9"/>
        <v>12.037859335780698</v>
      </c>
      <c r="I203" s="13">
        <f>404802637543.472/(10^9)</f>
        <v>404.80263754347197</v>
      </c>
      <c r="J203" s="34">
        <f t="shared" si="11"/>
        <v>13.111974978197205</v>
      </c>
      <c r="K203" s="34">
        <f t="shared" si="11"/>
        <v>9.641608259245583</v>
      </c>
      <c r="L203" s="34">
        <f t="shared" si="11"/>
        <v>11.929713574290002</v>
      </c>
      <c r="M203" s="34">
        <f t="shared" si="11"/>
        <v>10.768357763883852</v>
      </c>
      <c r="N203" s="34">
        <f t="shared" si="11"/>
        <v>13.534557906533994</v>
      </c>
      <c r="O203" s="42">
        <f t="shared" si="10"/>
        <v>11.89089545007127</v>
      </c>
      <c r="P203" s="38">
        <v>0</v>
      </c>
      <c r="Q203" s="38">
        <v>0</v>
      </c>
    </row>
    <row r="204" spans="1:17" x14ac:dyDescent="0.25">
      <c r="A204" s="5">
        <v>42186</v>
      </c>
      <c r="B204" s="13">
        <f>239048438939.076/(10^9)</f>
        <v>239.04843893907599</v>
      </c>
      <c r="C204" s="13">
        <f>107946052224.386/(10^9)</f>
        <v>107.94605222438601</v>
      </c>
      <c r="D204" s="13">
        <f>46443058107.299/(10^9)</f>
        <v>46.443058107299002</v>
      </c>
      <c r="E204" s="13">
        <f>50738006306.5224/(10^9)</f>
        <v>50.738006306522401</v>
      </c>
      <c r="F204" s="13">
        <f>11762006634.8356/(10^9)</f>
        <v>11.7620066348356</v>
      </c>
      <c r="G204" s="13">
        <f>405199555905.596/(10^9)</f>
        <v>405.19955590559601</v>
      </c>
      <c r="H204" s="34">
        <f t="shared" si="9"/>
        <v>12.864605744427383</v>
      </c>
      <c r="I204" s="13">
        <f>409494504104.82/(10^9)</f>
        <v>409.49450410482001</v>
      </c>
      <c r="J204" s="34">
        <f t="shared" si="11"/>
        <v>14.889738295846522</v>
      </c>
      <c r="K204" s="34">
        <f t="shared" si="11"/>
        <v>9.144216762602797</v>
      </c>
      <c r="L204" s="34">
        <f t="shared" si="11"/>
        <v>11.57714940380885</v>
      </c>
      <c r="M204" s="34">
        <f t="shared" si="11"/>
        <v>10.52775733317608</v>
      </c>
      <c r="N204" s="34">
        <f t="shared" si="11"/>
        <v>12.881817763452275</v>
      </c>
      <c r="O204" s="42">
        <f t="shared" si="10"/>
        <v>12.716835332850817</v>
      </c>
      <c r="P204" s="38">
        <v>0</v>
      </c>
      <c r="Q204" s="38">
        <v>0</v>
      </c>
    </row>
    <row r="205" spans="1:17" x14ac:dyDescent="0.25">
      <c r="A205" s="5">
        <v>42217</v>
      </c>
      <c r="B205" s="13">
        <f>245841279268.553/(10^9)</f>
        <v>245.841279268553</v>
      </c>
      <c r="C205" s="13">
        <f>108555837834.814/(10^9)</f>
        <v>108.555837834814</v>
      </c>
      <c r="D205" s="13">
        <f>46952374305.9139/(10^9)</f>
        <v>46.952374305913899</v>
      </c>
      <c r="E205" s="13">
        <f>51136488728.5312/(10^9)</f>
        <v>51.136488728531198</v>
      </c>
      <c r="F205" s="13">
        <f>11704979209.7106/(10^9)</f>
        <v>11.704979209710601</v>
      </c>
      <c r="G205" s="13">
        <f>413054470618.991/(10^9)</f>
        <v>413.05447061899105</v>
      </c>
      <c r="H205" s="34">
        <f t="shared" si="9"/>
        <v>14.228632643688011</v>
      </c>
      <c r="I205" s="13">
        <f>417238585041.609/(10^9)</f>
        <v>417.23858504160899</v>
      </c>
      <c r="J205" s="34">
        <f t="shared" si="11"/>
        <v>17.607121175000316</v>
      </c>
      <c r="K205" s="34">
        <f t="shared" si="11"/>
        <v>8.7231465207555416</v>
      </c>
      <c r="L205" s="34">
        <f t="shared" si="11"/>
        <v>11.189398842147602</v>
      </c>
      <c r="M205" s="34">
        <f t="shared" si="11"/>
        <v>10.180907276444184</v>
      </c>
      <c r="N205" s="34">
        <f t="shared" si="11"/>
        <v>11.542683767508732</v>
      </c>
      <c r="O205" s="42">
        <f t="shared" si="10"/>
        <v>14.065910576716224</v>
      </c>
      <c r="P205" s="38">
        <v>0</v>
      </c>
      <c r="Q205" s="38">
        <v>0</v>
      </c>
    </row>
    <row r="206" spans="1:17" x14ac:dyDescent="0.25">
      <c r="A206" s="5">
        <v>42248</v>
      </c>
      <c r="B206" s="13">
        <f>244813731897.075/(10^9)</f>
        <v>244.813731897075</v>
      </c>
      <c r="C206" s="13">
        <f>109169753615.54/(10^9)</f>
        <v>109.16975361553999</v>
      </c>
      <c r="D206" s="13">
        <f>47579367060.9185/(10^9)</f>
        <v>47.5793670609185</v>
      </c>
      <c r="E206" s="13">
        <f>51666041176.8966/(10^9)</f>
        <v>51.666041176896599</v>
      </c>
      <c r="F206" s="13">
        <f>11728228554.647/(10^9)</f>
        <v>11.728228554647</v>
      </c>
      <c r="G206" s="13">
        <f>413291081128.18/(10^9)</f>
        <v>413.29108112818</v>
      </c>
      <c r="H206" s="34">
        <f t="shared" si="9"/>
        <v>13.46802443630235</v>
      </c>
      <c r="I206" s="13">
        <f>417377755244.159/(10^9)</f>
        <v>417.377755244159</v>
      </c>
      <c r="J206" s="34">
        <f t="shared" si="11"/>
        <v>16.474717200458343</v>
      </c>
      <c r="K206" s="34">
        <f t="shared" si="11"/>
        <v>7.9511210297795731</v>
      </c>
      <c r="L206" s="34">
        <f t="shared" si="11"/>
        <v>12.40309328415481</v>
      </c>
      <c r="M206" s="34">
        <f t="shared" si="11"/>
        <v>9.983364846029863</v>
      </c>
      <c r="N206" s="34">
        <f t="shared" si="11"/>
        <v>10.732873161204392</v>
      </c>
      <c r="O206" s="42">
        <f t="shared" si="10"/>
        <v>13.146462995345631</v>
      </c>
      <c r="P206" s="38">
        <v>0</v>
      </c>
      <c r="Q206" s="38">
        <v>0</v>
      </c>
    </row>
    <row r="207" spans="1:17" x14ac:dyDescent="0.25">
      <c r="A207" s="5">
        <v>42278</v>
      </c>
      <c r="B207" s="13">
        <f>245212515714.822/(10^9)</f>
        <v>245.21251571482199</v>
      </c>
      <c r="C207" s="13">
        <f>109802230714.91/(10^9)</f>
        <v>109.80223071491001</v>
      </c>
      <c r="D207" s="13">
        <f>47715296466.4362/(10^9)</f>
        <v>47.7152964664362</v>
      </c>
      <c r="E207" s="13">
        <f>52158735911.2906/(10^9)</f>
        <v>52.158735911290606</v>
      </c>
      <c r="F207" s="13">
        <f>11758889831.2386/(10^9)</f>
        <v>11.7588898312386</v>
      </c>
      <c r="G207" s="13">
        <f>414488932727.406/(10^9)</f>
        <v>414.488932727406</v>
      </c>
      <c r="H207" s="34">
        <f t="shared" si="9"/>
        <v>12.800414498696867</v>
      </c>
      <c r="I207" s="13">
        <f>418932372172.261/(10^9)</f>
        <v>418.93237217226101</v>
      </c>
      <c r="J207" s="34">
        <f t="shared" si="11"/>
        <v>15.959553013338223</v>
      </c>
      <c r="K207" s="34">
        <f t="shared" si="11"/>
        <v>7.348304415185658</v>
      </c>
      <c r="L207" s="34">
        <f t="shared" si="11"/>
        <v>10.862124522101514</v>
      </c>
      <c r="M207" s="34">
        <f t="shared" si="11"/>
        <v>9.6558917197644654</v>
      </c>
      <c r="N207" s="34">
        <f t="shared" si="11"/>
        <v>10.273554239133919</v>
      </c>
      <c r="O207" s="42">
        <f t="shared" si="10"/>
        <v>12.622588807530954</v>
      </c>
      <c r="P207" s="38">
        <v>0</v>
      </c>
      <c r="Q207" s="38">
        <v>0</v>
      </c>
    </row>
    <row r="208" spans="1:17" x14ac:dyDescent="0.25">
      <c r="A208" s="5">
        <v>42309</v>
      </c>
      <c r="B208" s="13">
        <f>248165085009.163/(10^9)</f>
        <v>248.16508500916299</v>
      </c>
      <c r="C208" s="13">
        <f>110632156976.926/(10^9)</f>
        <v>110.632156976926</v>
      </c>
      <c r="D208" s="13">
        <f>48384799118.688/(10^9)</f>
        <v>48.384799118688001</v>
      </c>
      <c r="E208" s="13">
        <f>52703430300.6251/(10^9)</f>
        <v>52.703430300625101</v>
      </c>
      <c r="F208" s="13">
        <f>11763057209.0433/(10^9)</f>
        <v>11.7630572090433</v>
      </c>
      <c r="G208" s="13">
        <f>418945098313.82/(10^9)</f>
        <v>418.94509831381998</v>
      </c>
      <c r="H208" s="34">
        <f t="shared" si="9"/>
        <v>11.73471103530761</v>
      </c>
      <c r="I208" s="13">
        <f>423263729495.757/(10^9)</f>
        <v>423.26372949575699</v>
      </c>
      <c r="J208" s="34">
        <f t="shared" si="11"/>
        <v>14.542764975172972</v>
      </c>
      <c r="K208" s="34">
        <f t="shared" si="11"/>
        <v>6.436102624226181</v>
      </c>
      <c r="L208" s="34">
        <f t="shared" si="11"/>
        <v>10.888800831016376</v>
      </c>
      <c r="M208" s="34">
        <f t="shared" si="11"/>
        <v>9.6575313155245155</v>
      </c>
      <c r="N208" s="34">
        <f t="shared" si="11"/>
        <v>9.8001577914135432</v>
      </c>
      <c r="O208" s="42">
        <f t="shared" si="10"/>
        <v>11.568851268473201</v>
      </c>
      <c r="P208" s="38">
        <v>0</v>
      </c>
      <c r="Q208" s="38">
        <v>0</v>
      </c>
    </row>
    <row r="209" spans="1:18" x14ac:dyDescent="0.25">
      <c r="A209" s="5">
        <v>42339</v>
      </c>
      <c r="B209" s="13">
        <f>246921655286.247/(10^9)</f>
        <v>246.92165528624702</v>
      </c>
      <c r="C209" s="13">
        <f>111025645656.366/(10^9)</f>
        <v>111.025645656366</v>
      </c>
      <c r="D209" s="13">
        <f>48986771531.575/(10^9)</f>
        <v>48.986771531574995</v>
      </c>
      <c r="E209" s="13">
        <f>53196902983.0763/(10^9)</f>
        <v>53.196902983076299</v>
      </c>
      <c r="F209" s="13">
        <f>11697530733.2288/(10^9)</f>
        <v>11.697530733228799</v>
      </c>
      <c r="G209" s="13">
        <f>418631603207.416/(10^9)</f>
        <v>418.63160320741599</v>
      </c>
      <c r="H209" s="34">
        <f t="shared" ref="H209:H234" si="12">+(G209/G197-1)*100</f>
        <v>10.315731331131172</v>
      </c>
      <c r="I209" s="13">
        <f>422841734658.918/(10^9)</f>
        <v>422.84173465891803</v>
      </c>
      <c r="J209" s="34">
        <f t="shared" si="11"/>
        <v>11.923381722173465</v>
      </c>
      <c r="K209" s="34">
        <f t="shared" si="11"/>
        <v>6.3299591023002977</v>
      </c>
      <c r="L209" s="34">
        <f t="shared" si="11"/>
        <v>11.88798414272223</v>
      </c>
      <c r="M209" s="34">
        <f t="shared" si="11"/>
        <v>9.6891114628053785</v>
      </c>
      <c r="N209" s="34">
        <f t="shared" si="11"/>
        <v>9.6285934473624213</v>
      </c>
      <c r="O209" s="42">
        <f t="shared" ref="O209:O234" si="13">+(I209/I197-1)*100</f>
        <v>10.057465185163306</v>
      </c>
      <c r="P209" s="38">
        <v>0</v>
      </c>
      <c r="Q209" s="38">
        <v>0</v>
      </c>
    </row>
    <row r="210" spans="1:18" x14ac:dyDescent="0.25">
      <c r="A210" s="5">
        <v>42370</v>
      </c>
      <c r="B210" s="13">
        <f>246572095075.995/(10^9)</f>
        <v>246.57209507599501</v>
      </c>
      <c r="C210" s="13">
        <f>110442136111.378/(10^9)</f>
        <v>110.44213611137801</v>
      </c>
      <c r="D210" s="13">
        <f>49079539083.2569/(10^9)</f>
        <v>49.079539083256897</v>
      </c>
      <c r="E210" s="13">
        <f>53184542905.2614/(10^9)</f>
        <v>53.184542905261395</v>
      </c>
      <c r="F210" s="13">
        <f>11584845979.7153/(10^9)</f>
        <v>11.584845979715299</v>
      </c>
      <c r="G210" s="13">
        <f>417678616250.346/(10^9)</f>
        <v>417.67861625034601</v>
      </c>
      <c r="H210" s="34">
        <f t="shared" si="12"/>
        <v>8.642706938576449</v>
      </c>
      <c r="I210" s="13">
        <f>421783620072.35/(10^9)</f>
        <v>421.78362007234995</v>
      </c>
      <c r="J210" s="34">
        <f t="shared" si="11"/>
        <v>9.3157341889109411</v>
      </c>
      <c r="K210" s="34">
        <f t="shared" si="11"/>
        <v>5.97210965085333</v>
      </c>
      <c r="L210" s="34">
        <f t="shared" si="11"/>
        <v>11.405770130765557</v>
      </c>
      <c r="M210" s="34">
        <f t="shared" si="11"/>
        <v>9.3023716417476301</v>
      </c>
      <c r="N210" s="34">
        <f t="shared" si="11"/>
        <v>9.0938550269955556</v>
      </c>
      <c r="O210" s="42">
        <f t="shared" si="13"/>
        <v>8.4123333777272649</v>
      </c>
      <c r="P210" s="38">
        <v>0</v>
      </c>
      <c r="Q210" s="38">
        <v>0</v>
      </c>
      <c r="R210" s="44"/>
    </row>
    <row r="211" spans="1:18" x14ac:dyDescent="0.25">
      <c r="A211" s="5">
        <v>42401</v>
      </c>
      <c r="B211" s="13">
        <f>247932895766.612/(10^9)</f>
        <v>247.93289576661201</v>
      </c>
      <c r="C211" s="13">
        <f>109901414022.583/(10^9)</f>
        <v>109.901414022583</v>
      </c>
      <c r="D211" s="13">
        <f>48446081653.516/(10^9)</f>
        <v>48.446081653515996</v>
      </c>
      <c r="E211" s="13">
        <f>52417955445.1116/(10^9)</f>
        <v>52.417955445111602</v>
      </c>
      <c r="F211" s="13">
        <f>11492244435.3083/(10^9)</f>
        <v>11.492244435308301</v>
      </c>
      <c r="G211" s="13">
        <f>417772635878.019/(10^9)</f>
        <v>417.772635878019</v>
      </c>
      <c r="H211" s="34">
        <f t="shared" si="12"/>
        <v>7.8839016965508213</v>
      </c>
      <c r="I211" s="13">
        <f>421744509669.615/(10^9)</f>
        <v>421.74450966961501</v>
      </c>
      <c r="J211" s="34">
        <f t="shared" si="11"/>
        <v>9.0485141961390791</v>
      </c>
      <c r="K211" s="34">
        <f t="shared" si="11"/>
        <v>5.6906358171489702</v>
      </c>
      <c r="L211" s="34">
        <f t="shared" si="11"/>
        <v>9.473440585922944</v>
      </c>
      <c r="M211" s="34">
        <f t="shared" si="11"/>
        <v>7.5895562627471325</v>
      </c>
      <c r="N211" s="34">
        <f t="shared" si="11"/>
        <v>-1.310296547346812</v>
      </c>
      <c r="O211" s="42">
        <f t="shared" si="13"/>
        <v>7.6677117563517694</v>
      </c>
      <c r="P211" s="38">
        <v>0</v>
      </c>
      <c r="Q211" s="38">
        <v>0</v>
      </c>
      <c r="R211" s="44"/>
    </row>
    <row r="212" spans="1:18" x14ac:dyDescent="0.25">
      <c r="A212" s="5">
        <v>42430</v>
      </c>
      <c r="B212" s="13">
        <f>244733038384.781/(10^9)</f>
        <v>244.733038384781</v>
      </c>
      <c r="C212" s="13">
        <f>109884092330.627/(10^9)</f>
        <v>109.884092330627</v>
      </c>
      <c r="D212" s="13">
        <f>48753463561.63/(10^9)</f>
        <v>48.753463561629999</v>
      </c>
      <c r="E212" s="13">
        <f>52601059250.1352/(10^9)</f>
        <v>52.601059250135201</v>
      </c>
      <c r="F212" s="13">
        <f>11437516147.0018/(10^9)</f>
        <v>11.437516147001801</v>
      </c>
      <c r="G212" s="13">
        <f>414808110424.04/(10^9)</f>
        <v>414.80811042403997</v>
      </c>
      <c r="H212" s="34">
        <f t="shared" si="12"/>
        <v>6.2530682997317344</v>
      </c>
      <c r="I212" s="13">
        <f>418655706112.545/(10^9)</f>
        <v>418.65570611254498</v>
      </c>
      <c r="J212" s="34">
        <f t="shared" si="11"/>
        <v>6.764469363605774</v>
      </c>
      <c r="K212" s="34">
        <f t="shared" si="11"/>
        <v>4.891444753321017</v>
      </c>
      <c r="L212" s="34">
        <f t="shared" si="11"/>
        <v>8.9854897080843052</v>
      </c>
      <c r="M212" s="34">
        <f t="shared" si="11"/>
        <v>7.2318648989189382</v>
      </c>
      <c r="N212" s="34">
        <f t="shared" si="11"/>
        <v>-2.0390529301307248</v>
      </c>
      <c r="O212" s="42">
        <f t="shared" si="13"/>
        <v>6.0650384221742515</v>
      </c>
      <c r="P212" s="38">
        <v>0</v>
      </c>
      <c r="Q212" s="38">
        <v>0</v>
      </c>
      <c r="R212" s="44"/>
    </row>
    <row r="213" spans="1:18" x14ac:dyDescent="0.25">
      <c r="A213" s="5">
        <v>42461</v>
      </c>
      <c r="B213" s="13">
        <f>244729331388.13/(10^9)</f>
        <v>244.72933138812999</v>
      </c>
      <c r="C213" s="13">
        <f>110902573733.163/(10^9)</f>
        <v>110.902573733163</v>
      </c>
      <c r="D213" s="13">
        <f>49379086547.2578/(10^9)</f>
        <v>49.379086547257799</v>
      </c>
      <c r="E213" s="13">
        <f>53152005122.7904/(10^9)</f>
        <v>53.152005122790399</v>
      </c>
      <c r="F213" s="13">
        <f>11529519715.7769/(10^9)</f>
        <v>11.5295197157769</v>
      </c>
      <c r="G213" s="13">
        <f>416540511384.327/(10^9)</f>
        <v>416.54051138432703</v>
      </c>
      <c r="H213" s="34">
        <f t="shared" si="12"/>
        <v>6.6138314414733834</v>
      </c>
      <c r="I213" s="13">
        <f>420313429959.86/(10^9)</f>
        <v>420.31342995986</v>
      </c>
      <c r="J213" s="34">
        <f t="shared" si="11"/>
        <v>7.161813385942839</v>
      </c>
      <c r="K213" s="34">
        <f t="shared" si="11"/>
        <v>5.2556247877137974</v>
      </c>
      <c r="L213" s="34">
        <f t="shared" si="11"/>
        <v>9.1354660033832857</v>
      </c>
      <c r="M213" s="34">
        <f t="shared" si="11"/>
        <v>7.4706458578198465</v>
      </c>
      <c r="N213" s="34">
        <f t="shared" si="11"/>
        <v>-1.5912469062905332</v>
      </c>
      <c r="O213" s="42">
        <f t="shared" si="13"/>
        <v>6.4322278319922876</v>
      </c>
      <c r="P213" s="38">
        <v>0</v>
      </c>
      <c r="Q213" s="38">
        <v>0</v>
      </c>
      <c r="R213" s="44"/>
    </row>
    <row r="214" spans="1:18" x14ac:dyDescent="0.25">
      <c r="A214" s="5">
        <v>42491</v>
      </c>
      <c r="B214" s="13">
        <f>247261313223.703/(10^9)</f>
        <v>247.26131322370301</v>
      </c>
      <c r="C214" s="13">
        <f>111665113003.742/(10^9)</f>
        <v>111.66511300374201</v>
      </c>
      <c r="D214" s="13">
        <f>49817250593.743/(10^9)</f>
        <v>49.817250593742997</v>
      </c>
      <c r="E214" s="13">
        <f>53750511875.9277/(10^9)</f>
        <v>53.7505118759277</v>
      </c>
      <c r="F214" s="13">
        <f>11542468063.9459/(10^9)</f>
        <v>11.542468063945901</v>
      </c>
      <c r="G214" s="13">
        <f>420286144885.135/(10^9)</f>
        <v>420.286144885135</v>
      </c>
      <c r="H214" s="34">
        <f t="shared" si="12"/>
        <v>6.2412265039374581</v>
      </c>
      <c r="I214" s="13">
        <f>424219406167.319/(10^9)</f>
        <v>424.21940616731899</v>
      </c>
      <c r="J214" s="34">
        <f t="shared" si="11"/>
        <v>6.4568227923983201</v>
      </c>
      <c r="K214" s="34">
        <f t="shared" si="11"/>
        <v>5.4334346824340463</v>
      </c>
      <c r="L214" s="34">
        <f t="shared" si="11"/>
        <v>8.9439351799784248</v>
      </c>
      <c r="M214" s="34">
        <f t="shared" si="11"/>
        <v>7.8684125266225813</v>
      </c>
      <c r="N214" s="34">
        <f t="shared" si="11"/>
        <v>-1.2935434085696196</v>
      </c>
      <c r="O214" s="42">
        <f t="shared" si="13"/>
        <v>6.1348820789839831</v>
      </c>
      <c r="P214" s="38">
        <v>0</v>
      </c>
      <c r="Q214" s="38">
        <v>0</v>
      </c>
      <c r="R214" s="44"/>
    </row>
    <row r="215" spans="1:18" x14ac:dyDescent="0.25">
      <c r="A215" s="5">
        <v>42522</v>
      </c>
      <c r="B215" s="13">
        <f>245629397655.828/(10^9)</f>
        <v>245.629397655828</v>
      </c>
      <c r="C215" s="13">
        <f>112828147877.348/(10^9)</f>
        <v>112.828147877348</v>
      </c>
      <c r="D215" s="13">
        <f>50236908073.4703/(10^9)</f>
        <v>50.236908073470296</v>
      </c>
      <c r="E215" s="13">
        <f>54073769615.0119/(10^9)</f>
        <v>54.073769615011905</v>
      </c>
      <c r="F215" s="13">
        <f>11518177557.5089/(10^9)</f>
        <v>11.518177557508899</v>
      </c>
      <c r="G215" s="13">
        <f>420212631164.155/(10^9)</f>
        <v>420.21263116415503</v>
      </c>
      <c r="H215" s="34">
        <f t="shared" si="12"/>
        <v>4.9509543734912453</v>
      </c>
      <c r="I215" s="13">
        <f>424049492705.697/(10^9)</f>
        <v>424.04949270569705</v>
      </c>
      <c r="J215" s="34">
        <f t="shared" si="11"/>
        <v>4.3157519337714945</v>
      </c>
      <c r="K215" s="34">
        <f t="shared" si="11"/>
        <v>5.098529681837638</v>
      </c>
      <c r="L215" s="34">
        <f t="shared" si="11"/>
        <v>9.5834495454500299</v>
      </c>
      <c r="M215" s="34">
        <f t="shared" si="11"/>
        <v>7.5953021927961606</v>
      </c>
      <c r="N215" s="34">
        <f t="shared" si="11"/>
        <v>-1.7568572494322865</v>
      </c>
      <c r="O215" s="42">
        <f t="shared" si="13"/>
        <v>4.7546269162236143</v>
      </c>
      <c r="P215" s="38">
        <v>0</v>
      </c>
      <c r="Q215" s="38">
        <v>0</v>
      </c>
      <c r="R215" s="44"/>
    </row>
    <row r="216" spans="1:18" x14ac:dyDescent="0.25">
      <c r="A216" s="15">
        <v>42552</v>
      </c>
      <c r="B216" s="13">
        <f>247449530746.238/(10^9)</f>
        <v>247.449530746238</v>
      </c>
      <c r="C216" s="13">
        <f>113525247566.999/(10^9)</f>
        <v>113.525247566999</v>
      </c>
      <c r="D216" s="13">
        <f>50710618339.8035/(10^9)</f>
        <v>50.710618339803496</v>
      </c>
      <c r="E216" s="13">
        <f>54470360008.7559/(10^9)</f>
        <v>54.470360008755897</v>
      </c>
      <c r="F216" s="13">
        <f>11562323251.4244/(10^9)</f>
        <v>11.562323251424401</v>
      </c>
      <c r="G216" s="13">
        <f>423247719904.465/(10^9)</f>
        <v>423.24771990446504</v>
      </c>
      <c r="H216" s="34">
        <f t="shared" si="12"/>
        <v>4.4541420975974466</v>
      </c>
      <c r="I216" s="13">
        <f>427007461573.417/(10^9)</f>
        <v>427.007461573417</v>
      </c>
      <c r="J216" s="34">
        <f t="shared" si="11"/>
        <v>3.5143889014490171</v>
      </c>
      <c r="K216" s="34">
        <f t="shared" si="11"/>
        <v>5.1685033659365276</v>
      </c>
      <c r="L216" s="34">
        <f t="shared" si="11"/>
        <v>9.1888010962693389</v>
      </c>
      <c r="M216" s="34">
        <f t="shared" si="11"/>
        <v>7.3561299978665007</v>
      </c>
      <c r="N216" s="34">
        <f t="shared" si="11"/>
        <v>-1.6976982721621403</v>
      </c>
      <c r="O216" s="42">
        <f t="shared" si="13"/>
        <v>4.2767258883929182</v>
      </c>
      <c r="P216" s="38">
        <v>0</v>
      </c>
      <c r="Q216" s="38">
        <v>0</v>
      </c>
      <c r="R216" s="44"/>
    </row>
    <row r="217" spans="1:18" x14ac:dyDescent="0.25">
      <c r="A217" s="15">
        <v>42583</v>
      </c>
      <c r="B217" s="13">
        <f>246485789170.382/(10^9)</f>
        <v>246.48578917038199</v>
      </c>
      <c r="C217" s="13">
        <f>114666337923.133/(10^9)</f>
        <v>114.666337923133</v>
      </c>
      <c r="D217" s="13">
        <f>51272129841.5283/(10^9)</f>
        <v>51.272129841528297</v>
      </c>
      <c r="E217" s="13">
        <f>54948938024.1801/(10^9)</f>
        <v>54.948938024180102</v>
      </c>
      <c r="F217" s="13">
        <f>11688648596.9051/(10^9)</f>
        <v>11.6886485969051</v>
      </c>
      <c r="G217" s="13">
        <f>424112905531.948/(10^9)</f>
        <v>424.112905531948</v>
      </c>
      <c r="H217" s="34">
        <f t="shared" si="12"/>
        <v>2.6772340452785981</v>
      </c>
      <c r="I217" s="13">
        <f>427789713714.6/(10^9)</f>
        <v>427.7897137146</v>
      </c>
      <c r="J217" s="34">
        <f t="shared" si="11"/>
        <v>0.2621650455719271</v>
      </c>
      <c r="K217" s="34">
        <f t="shared" si="11"/>
        <v>5.6289004904712225</v>
      </c>
      <c r="L217" s="34">
        <f t="shared" si="11"/>
        <v>9.2002919968848129</v>
      </c>
      <c r="M217" s="34">
        <f t="shared" si="11"/>
        <v>7.4554381625380861</v>
      </c>
      <c r="N217" s="34">
        <f t="shared" si="11"/>
        <v>-0.13951851184795805</v>
      </c>
      <c r="O217" s="42">
        <f t="shared" si="13"/>
        <v>2.5287998404890599</v>
      </c>
      <c r="P217" s="38">
        <v>0</v>
      </c>
      <c r="Q217" s="38">
        <v>0</v>
      </c>
      <c r="R217" s="44"/>
    </row>
    <row r="218" spans="1:18" x14ac:dyDescent="0.25">
      <c r="A218" s="15">
        <v>42614</v>
      </c>
      <c r="B218" s="13">
        <f>245574035995.828/(10^9)</f>
        <v>245.57403599582801</v>
      </c>
      <c r="C218" s="13">
        <f>115636236128.05/(10^9)</f>
        <v>115.63623612805</v>
      </c>
      <c r="D218" s="13">
        <f>51330785782.289/(10^9)</f>
        <v>51.330785782288999</v>
      </c>
      <c r="E218" s="13">
        <f>55356300343.3684/(10^9)</f>
        <v>55.356300343368403</v>
      </c>
      <c r="F218" s="13">
        <f>11770948255.608/(10^9)</f>
        <v>11.770948255607999</v>
      </c>
      <c r="G218" s="13">
        <f>424312006161.775/(10^9)</f>
        <v>424.312006161775</v>
      </c>
      <c r="H218" s="34">
        <f t="shared" si="12"/>
        <v>2.6666254213641993</v>
      </c>
      <c r="I218" s="13">
        <f>428337520722.855/(10^9)</f>
        <v>428.337520722855</v>
      </c>
      <c r="J218" s="34">
        <f t="shared" si="11"/>
        <v>0.31056431878284663</v>
      </c>
      <c r="K218" s="34">
        <f t="shared" si="11"/>
        <v>5.9233279350275447</v>
      </c>
      <c r="L218" s="34">
        <f t="shared" si="11"/>
        <v>7.8845494446518227</v>
      </c>
      <c r="M218" s="34">
        <f t="shared" si="11"/>
        <v>7.1425235655987684</v>
      </c>
      <c r="N218" s="34">
        <f t="shared" si="11"/>
        <v>0.36424683200835251</v>
      </c>
      <c r="O218" s="42">
        <f t="shared" si="13"/>
        <v>2.625862385091593</v>
      </c>
      <c r="P218" s="38">
        <v>0</v>
      </c>
      <c r="Q218" s="38">
        <v>0</v>
      </c>
      <c r="R218" s="44"/>
    </row>
    <row r="219" spans="1:18" x14ac:dyDescent="0.25">
      <c r="A219" s="15">
        <v>42644</v>
      </c>
      <c r="B219" s="13">
        <f>245463347115.911/(10^9)</f>
        <v>245.46334711591101</v>
      </c>
      <c r="C219" s="13">
        <f>116847042288.226/(10^9)</f>
        <v>116.84704228822599</v>
      </c>
      <c r="D219" s="13">
        <f>51923427082.0835/(10^9)</f>
        <v>51.923427082083506</v>
      </c>
      <c r="E219" s="13">
        <f>55849879051.3171/(10^9)</f>
        <v>55.849879051317103</v>
      </c>
      <c r="F219" s="13">
        <f>11818514854.5709/(10^9)</f>
        <v>11.8185148545709</v>
      </c>
      <c r="G219" s="13">
        <f>426052331340.792/(10^9)</f>
        <v>426.05233134079197</v>
      </c>
      <c r="H219" s="34">
        <f t="shared" si="12"/>
        <v>2.7897967111683464</v>
      </c>
      <c r="I219" s="13">
        <f>429978783310.025/(10^9)</f>
        <v>429.97878331002505</v>
      </c>
      <c r="J219" s="34">
        <f t="shared" si="11"/>
        <v>0.10229143498561299</v>
      </c>
      <c r="K219" s="34">
        <f t="shared" si="11"/>
        <v>6.4159093375863119</v>
      </c>
      <c r="L219" s="34">
        <f t="shared" si="11"/>
        <v>8.8192486000949089</v>
      </c>
      <c r="M219" s="34">
        <f t="shared" si="11"/>
        <v>7.0767496096995952</v>
      </c>
      <c r="N219" s="34">
        <f t="shared" si="11"/>
        <v>0.50706337237635957</v>
      </c>
      <c r="O219" s="42">
        <f t="shared" si="13"/>
        <v>2.6368005605501121</v>
      </c>
      <c r="P219" s="38">
        <v>0</v>
      </c>
      <c r="Q219" s="38">
        <v>0</v>
      </c>
      <c r="R219" s="44"/>
    </row>
    <row r="220" spans="1:18" x14ac:dyDescent="0.25">
      <c r="A220" s="15">
        <v>42675</v>
      </c>
      <c r="B220" s="13">
        <f>247369318162.779/(10^9)</f>
        <v>247.369318162779</v>
      </c>
      <c r="C220" s="13">
        <f>118601169824.933/(10^9)</f>
        <v>118.601169824933</v>
      </c>
      <c r="D220" s="13">
        <f>52225752537.4149/(10^9)</f>
        <v>52.225752537414898</v>
      </c>
      <c r="E220" s="13">
        <f>56087924028.8607/(10^9)</f>
        <v>56.087924028860705</v>
      </c>
      <c r="F220" s="13">
        <f>11873785509.1257/(10^9)</f>
        <v>11.8737855091257</v>
      </c>
      <c r="G220" s="13">
        <f>430070026034.252/(10^9)</f>
        <v>430.07002603425201</v>
      </c>
      <c r="H220" s="34">
        <f t="shared" si="12"/>
        <v>2.6554619603398777</v>
      </c>
      <c r="I220" s="13">
        <f>433932197525.698/(10^9)</f>
        <v>433.93219752569797</v>
      </c>
      <c r="J220" s="34">
        <f t="shared" si="11"/>
        <v>-0.32066027594277458</v>
      </c>
      <c r="K220" s="34">
        <f t="shared" si="11"/>
        <v>7.203161418672388</v>
      </c>
      <c r="L220" s="34">
        <f t="shared" si="11"/>
        <v>7.9383473501771329</v>
      </c>
      <c r="M220" s="34">
        <f t="shared" si="11"/>
        <v>6.4217712375269409</v>
      </c>
      <c r="N220" s="34">
        <f t="shared" si="11"/>
        <v>0.94132246502443007</v>
      </c>
      <c r="O220" s="42">
        <f t="shared" si="13"/>
        <v>2.5205249792252582</v>
      </c>
      <c r="P220" s="38">
        <v>0</v>
      </c>
      <c r="Q220" s="38">
        <v>0</v>
      </c>
      <c r="R220" s="44"/>
    </row>
    <row r="221" spans="1:18" x14ac:dyDescent="0.25">
      <c r="A221" s="15">
        <v>42705</v>
      </c>
      <c r="B221" s="13">
        <f>244514384418.639/(10^9)</f>
        <v>244.514384418639</v>
      </c>
      <c r="C221" s="13">
        <f>119522670386.845/(10^9)</f>
        <v>119.52267038684501</v>
      </c>
      <c r="D221" s="13">
        <f>52883482739.5262/(10^9)</f>
        <v>52.883482739526201</v>
      </c>
      <c r="E221" s="13">
        <f>57077780660.8767/(10^9)</f>
        <v>57.077780660876698</v>
      </c>
      <c r="F221" s="13">
        <f>11867455436.6943/(10^9)</f>
        <v>11.8674554366943</v>
      </c>
      <c r="G221" s="13">
        <f>428787992981.705/(10^9)</f>
        <v>428.78799298170503</v>
      </c>
      <c r="H221" s="34">
        <f t="shared" si="12"/>
        <v>2.4260924632718117</v>
      </c>
      <c r="I221" s="13">
        <f>432982290903.055/(10^9)</f>
        <v>432.982290903055</v>
      </c>
      <c r="J221" s="34">
        <f t="shared" si="11"/>
        <v>-0.97491281792086992</v>
      </c>
      <c r="K221" s="34">
        <f t="shared" si="11"/>
        <v>7.6532090223352833</v>
      </c>
      <c r="L221" s="34">
        <f t="shared" si="11"/>
        <v>7.9546193515519503</v>
      </c>
      <c r="M221" s="34">
        <f t="shared" si="11"/>
        <v>7.2953075464468942</v>
      </c>
      <c r="N221" s="34">
        <f t="shared" si="11"/>
        <v>1.4526544733308722</v>
      </c>
      <c r="O221" s="42">
        <f t="shared" si="13"/>
        <v>2.3981919032464383</v>
      </c>
      <c r="P221" s="38">
        <v>0</v>
      </c>
      <c r="Q221" s="38">
        <v>0</v>
      </c>
      <c r="R221" s="44"/>
    </row>
    <row r="222" spans="1:18" x14ac:dyDescent="0.25">
      <c r="A222" s="15">
        <v>42736</v>
      </c>
      <c r="B222" s="13">
        <f>240124866214.708/(10^9)</f>
        <v>240.12486621470802</v>
      </c>
      <c r="C222" s="13">
        <f>119082976467.484/(10^9)</f>
        <v>119.08297646748399</v>
      </c>
      <c r="D222" s="13">
        <f>52692797273.434/(10^9)</f>
        <v>52.692797273433996</v>
      </c>
      <c r="E222" s="13">
        <f>56785939872.9087/(10^9)</f>
        <v>56.785939872908699</v>
      </c>
      <c r="F222" s="13">
        <f>11815193107.0472/(10^9)</f>
        <v>11.815193107047198</v>
      </c>
      <c r="G222" s="13">
        <f>423715833062.673/(10^9)</f>
        <v>423.71583306267297</v>
      </c>
      <c r="H222" s="34">
        <f t="shared" si="12"/>
        <v>1.4454215699442052</v>
      </c>
      <c r="I222" s="13">
        <f>427808975662.148/(10^9)</f>
        <v>427.80897566214799</v>
      </c>
      <c r="J222" s="34">
        <f t="shared" si="11"/>
        <v>-2.6147439187309107</v>
      </c>
      <c r="K222" s="34">
        <f t="shared" si="11"/>
        <v>7.8238620334108111</v>
      </c>
      <c r="L222" s="34">
        <f t="shared" si="11"/>
        <v>7.3620458905444996</v>
      </c>
      <c r="M222" s="34">
        <f t="shared" si="11"/>
        <v>6.7715106136430281</v>
      </c>
      <c r="N222" s="34">
        <f t="shared" si="11"/>
        <v>1.988348638689108</v>
      </c>
      <c r="O222" s="42">
        <f t="shared" si="13"/>
        <v>1.4285418643721792</v>
      </c>
      <c r="P222" s="38">
        <v>1E+20</v>
      </c>
      <c r="Q222" s="38">
        <v>-1E+20</v>
      </c>
      <c r="R222" s="44"/>
    </row>
    <row r="223" spans="1:18" x14ac:dyDescent="0.25">
      <c r="A223" s="15">
        <v>42767</v>
      </c>
      <c r="B223" s="13">
        <f>239869878921.474/(10^9)</f>
        <v>239.869878921474</v>
      </c>
      <c r="C223" s="13">
        <f>118505050678.88/(10^9)</f>
        <v>118.50505067888001</v>
      </c>
      <c r="D223" s="13">
        <f>52820431776.1525/(10^9)</f>
        <v>52.820431776152496</v>
      </c>
      <c r="E223" s="13">
        <f>56800275932.6093/(10^9)</f>
        <v>56.800275932609296</v>
      </c>
      <c r="F223" s="13">
        <f>11756946792.9491/(10^9)</f>
        <v>11.756946792949101</v>
      </c>
      <c r="G223" s="13">
        <f>422952308169.456/(10^9)</f>
        <v>422.95230816945599</v>
      </c>
      <c r="H223" s="34">
        <f t="shared" si="12"/>
        <v>1.2398304356509682</v>
      </c>
      <c r="I223" s="13">
        <f>426932152325.913/(10^9)</f>
        <v>426.93215232591302</v>
      </c>
      <c r="J223" s="34">
        <f t="shared" si="11"/>
        <v>-3.2520964272236053</v>
      </c>
      <c r="K223" s="34">
        <f t="shared" si="11"/>
        <v>7.8285040577631637</v>
      </c>
      <c r="L223" s="34">
        <f t="shared" si="11"/>
        <v>9.0293166616066891</v>
      </c>
      <c r="M223" s="34">
        <f t="shared" si="11"/>
        <v>8.3603422725759593</v>
      </c>
      <c r="N223" s="34">
        <f t="shared" si="11"/>
        <v>2.3033129788602391</v>
      </c>
      <c r="O223" s="42">
        <f t="shared" si="13"/>
        <v>1.2300439098452909</v>
      </c>
      <c r="P223" s="38">
        <v>1E+20</v>
      </c>
      <c r="Q223" s="38">
        <v>-1E+20</v>
      </c>
      <c r="R223" s="44"/>
    </row>
    <row r="224" spans="1:18" x14ac:dyDescent="0.25">
      <c r="A224" s="15">
        <v>42795</v>
      </c>
      <c r="B224" s="13">
        <f>239471303156.491/(10^9)</f>
        <v>239.47130315649099</v>
      </c>
      <c r="C224" s="13">
        <f>118809205465.461/(10^9)</f>
        <v>118.80920546546101</v>
      </c>
      <c r="D224" s="13">
        <f>52736639560.0131/(10^9)</f>
        <v>52.736639560013103</v>
      </c>
      <c r="E224" s="13">
        <f>57047578236.5985/(10^9)</f>
        <v>57.047578236598504</v>
      </c>
      <c r="F224" s="13">
        <f>11762420237.2966/(10^9)</f>
        <v>11.762420237296601</v>
      </c>
      <c r="G224" s="13">
        <f>422779568419.262/(10^9)</f>
        <v>422.77956841926203</v>
      </c>
      <c r="H224" s="34">
        <f t="shared" si="12"/>
        <v>1.9217218262856939</v>
      </c>
      <c r="I224" s="13">
        <f>427090507095.847/(10^9)</f>
        <v>427.09050709584699</v>
      </c>
      <c r="J224" s="34">
        <f t="shared" si="11"/>
        <v>-2.1499897451594863</v>
      </c>
      <c r="K224" s="34">
        <f t="shared" si="11"/>
        <v>8.1222977280273732</v>
      </c>
      <c r="L224" s="34">
        <f t="shared" si="11"/>
        <v>8.1700369725484343</v>
      </c>
      <c r="M224" s="34">
        <f t="shared" si="11"/>
        <v>8.4532879182501972</v>
      </c>
      <c r="N224" s="34">
        <f t="shared" si="11"/>
        <v>2.8406874894770562</v>
      </c>
      <c r="O224" s="42">
        <f t="shared" si="13"/>
        <v>2.0147345086070523</v>
      </c>
      <c r="P224" s="38">
        <v>1E+20</v>
      </c>
      <c r="Q224" s="38">
        <v>-1E+20</v>
      </c>
      <c r="R224" s="44"/>
    </row>
    <row r="225" spans="1:18" x14ac:dyDescent="0.25">
      <c r="A225" s="15">
        <v>42826</v>
      </c>
      <c r="B225" s="13">
        <f>240117822678.309/(10^9)</f>
        <v>240.11782267830898</v>
      </c>
      <c r="C225" s="13">
        <f>118835000103.927/(10^9)</f>
        <v>118.835000103927</v>
      </c>
      <c r="D225" s="13">
        <f>52904730170.5295/(10^9)</f>
        <v>52.904730170529504</v>
      </c>
      <c r="E225" s="13">
        <f>57122702294.5278/(10^9)</f>
        <v>57.122702294527798</v>
      </c>
      <c r="F225" s="13">
        <f>11739689603.1057/(10^9)</f>
        <v>11.739689603105699</v>
      </c>
      <c r="G225" s="13">
        <f>423597242555.872/(10^9)</f>
        <v>423.59724255587201</v>
      </c>
      <c r="H225" s="34">
        <f t="shared" si="12"/>
        <v>1.6941284169678328</v>
      </c>
      <c r="I225" s="13">
        <f>427815214679.87/(10^9)</f>
        <v>427.81521467987</v>
      </c>
      <c r="J225" s="34">
        <f t="shared" si="11"/>
        <v>-1.8843302041745669</v>
      </c>
      <c r="K225" s="34">
        <f t="shared" si="11"/>
        <v>7.1526080087643606</v>
      </c>
      <c r="L225" s="34">
        <f t="shared" si="11"/>
        <v>7.1399531052432907</v>
      </c>
      <c r="M225" s="34">
        <f t="shared" si="11"/>
        <v>7.4704560299548417</v>
      </c>
      <c r="N225" s="34">
        <f t="shared" si="11"/>
        <v>1.8228850161139398</v>
      </c>
      <c r="O225" s="42">
        <f t="shared" si="13"/>
        <v>1.7848072855360275</v>
      </c>
      <c r="P225" s="38">
        <v>1E+20</v>
      </c>
      <c r="Q225" s="38">
        <v>-1E+20</v>
      </c>
      <c r="R225" s="44"/>
    </row>
    <row r="226" spans="1:18" x14ac:dyDescent="0.25">
      <c r="A226" s="15">
        <v>42856</v>
      </c>
      <c r="B226" s="13">
        <f>240545433441.036/(10^9)</f>
        <v>240.54543344103601</v>
      </c>
      <c r="C226" s="13">
        <f>119788107045.079/(10^9)</f>
        <v>119.78810704507899</v>
      </c>
      <c r="D226" s="13">
        <f>53321219191.2644/(10^9)</f>
        <v>53.321219191264397</v>
      </c>
      <c r="E226" s="13">
        <f>57472096335.086/(10^9)</f>
        <v>57.472096335086</v>
      </c>
      <c r="F226" s="13">
        <f>11756308201.0361/(10^9)</f>
        <v>11.7563082010361</v>
      </c>
      <c r="G226" s="13">
        <f>425411067878.416/(10^9)</f>
        <v>425.41106787841602</v>
      </c>
      <c r="H226" s="34">
        <f t="shared" si="12"/>
        <v>1.2193889938203029</v>
      </c>
      <c r="I226" s="13">
        <f>429561945022.238/(10^9)</f>
        <v>429.56194502223798</v>
      </c>
      <c r="J226" s="34">
        <f t="shared" si="11"/>
        <v>-2.7161061692619115</v>
      </c>
      <c r="K226" s="34">
        <f t="shared" si="11"/>
        <v>7.274424234062038</v>
      </c>
      <c r="L226" s="34">
        <f t="shared" si="11"/>
        <v>7.0336450843023757</v>
      </c>
      <c r="M226" s="34">
        <f t="shared" si="11"/>
        <v>6.9238121261967489</v>
      </c>
      <c r="N226" s="34">
        <f t="shared" si="11"/>
        <v>1.8526378925678211</v>
      </c>
      <c r="O226" s="42">
        <f t="shared" si="13"/>
        <v>1.2593810601893685</v>
      </c>
      <c r="P226" s="38">
        <v>1E+20</v>
      </c>
      <c r="Q226" s="38">
        <v>-1E+20</v>
      </c>
      <c r="R226" s="44"/>
    </row>
    <row r="227" spans="1:18" x14ac:dyDescent="0.25">
      <c r="A227" s="15">
        <v>42887</v>
      </c>
      <c r="B227" s="13">
        <f>242691353675.369/(10^9)</f>
        <v>242.69135367536899</v>
      </c>
      <c r="C227" s="13">
        <f>120520906764.697/(10^9)</f>
        <v>120.520906764697</v>
      </c>
      <c r="D227" s="13">
        <f>53304219179.1245/(10^9)</f>
        <v>53.304219179124495</v>
      </c>
      <c r="E227" s="13">
        <f>57942836819.8057/(10^9)</f>
        <v>57.942836819805699</v>
      </c>
      <c r="F227" s="13">
        <f>11897279166.8707/(10^9)</f>
        <v>11.897279166870701</v>
      </c>
      <c r="G227" s="13">
        <f>428413758786.061/(10^9)</f>
        <v>428.41375878606095</v>
      </c>
      <c r="H227" s="34">
        <f t="shared" si="12"/>
        <v>1.9516613765715674</v>
      </c>
      <c r="I227" s="13">
        <f>433052376426.742/(10^9)</f>
        <v>433.052376426742</v>
      </c>
      <c r="J227" s="34">
        <f t="shared" si="11"/>
        <v>-1.1961288056308916</v>
      </c>
      <c r="K227" s="34">
        <f t="shared" si="11"/>
        <v>6.8181203290792025</v>
      </c>
      <c r="L227" s="34">
        <f t="shared" si="11"/>
        <v>6.1056924545760838</v>
      </c>
      <c r="M227" s="34">
        <f t="shared" si="11"/>
        <v>7.1551645693287647</v>
      </c>
      <c r="N227" s="34">
        <f t="shared" si="11"/>
        <v>3.2913332640427839</v>
      </c>
      <c r="O227" s="42">
        <f t="shared" si="13"/>
        <v>2.1230738099935031</v>
      </c>
      <c r="P227" s="38">
        <v>1E+20</v>
      </c>
      <c r="Q227" s="38">
        <v>-1E+20</v>
      </c>
      <c r="R227" s="44"/>
    </row>
    <row r="228" spans="1:18" x14ac:dyDescent="0.25">
      <c r="A228" s="15">
        <v>42917</v>
      </c>
      <c r="B228" s="13">
        <f>241726474166.757/(10^9)</f>
        <v>241.72647416675699</v>
      </c>
      <c r="C228" s="13">
        <f>121414773991.636/(10^9)</f>
        <v>121.414773991636</v>
      </c>
      <c r="D228" s="13">
        <f>53837791573.3329/(10^9)</f>
        <v>53.8377915733329</v>
      </c>
      <c r="E228" s="13">
        <f>58387140790.5593/(10^9)</f>
        <v>58.3871407905593</v>
      </c>
      <c r="F228" s="13">
        <f>12014878336.3064/(10^9)</f>
        <v>12.014878336306401</v>
      </c>
      <c r="G228" s="13">
        <f>428993918068.032/(10^9)</f>
        <v>428.99391806803197</v>
      </c>
      <c r="H228" s="34">
        <f t="shared" si="12"/>
        <v>1.3576442100772468</v>
      </c>
      <c r="I228" s="13">
        <f>433543267285.258/(10^9)</f>
        <v>433.54326728525797</v>
      </c>
      <c r="J228" s="34">
        <f t="shared" si="11"/>
        <v>-2.3128177136654382</v>
      </c>
      <c r="K228" s="34">
        <f t="shared" si="11"/>
        <v>6.9495787005272591</v>
      </c>
      <c r="L228" s="34">
        <f t="shared" si="11"/>
        <v>6.1667030217906982</v>
      </c>
      <c r="M228" s="34">
        <f t="shared" si="11"/>
        <v>7.1906643928437264</v>
      </c>
      <c r="N228" s="34">
        <f t="shared" si="11"/>
        <v>3.9140497548902919</v>
      </c>
      <c r="O228" s="42">
        <f t="shared" si="13"/>
        <v>1.5306069097149155</v>
      </c>
      <c r="P228" s="38">
        <v>1E+20</v>
      </c>
      <c r="Q228" s="38">
        <v>-1E+20</v>
      </c>
      <c r="R228" s="44"/>
    </row>
    <row r="229" spans="1:18" x14ac:dyDescent="0.25">
      <c r="A229" s="15">
        <v>42948</v>
      </c>
      <c r="B229" s="13">
        <f>240466496776.851/(10^9)</f>
        <v>240.46649677685102</v>
      </c>
      <c r="C229" s="13">
        <f>122017316959.194/(10^9)</f>
        <v>122.01731695919401</v>
      </c>
      <c r="D229" s="13">
        <f>54333061722.5551/(10^9)</f>
        <v>54.333061722555101</v>
      </c>
      <c r="E229" s="13">
        <f>58733764861.4348/(10^9)</f>
        <v>58.7337648614348</v>
      </c>
      <c r="F229" s="13">
        <f>12090540367.0121/(10^9)</f>
        <v>12.0905403670121</v>
      </c>
      <c r="G229" s="13">
        <f>428907415825.613/(10^9)</f>
        <v>428.90741582561299</v>
      </c>
      <c r="H229" s="34">
        <f t="shared" si="12"/>
        <v>1.1304796980067033</v>
      </c>
      <c r="I229" s="13">
        <f>433308118964.492/(10^9)</f>
        <v>433.308118964492</v>
      </c>
      <c r="J229" s="34">
        <f t="shared" si="11"/>
        <v>-2.4420443928189983</v>
      </c>
      <c r="K229" s="34">
        <f t="shared" si="11"/>
        <v>6.4107559107615009</v>
      </c>
      <c r="L229" s="34">
        <f t="shared" si="11"/>
        <v>5.9699721671159667</v>
      </c>
      <c r="M229" s="34">
        <f t="shared" si="11"/>
        <v>6.8878980619956565</v>
      </c>
      <c r="N229" s="34">
        <f t="shared" si="11"/>
        <v>3.4383082592919445</v>
      </c>
      <c r="O229" s="42">
        <f t="shared" si="13"/>
        <v>1.2899808183732153</v>
      </c>
      <c r="P229" s="38">
        <v>1E+20</v>
      </c>
      <c r="Q229" s="38">
        <v>-1E+20</v>
      </c>
    </row>
    <row r="230" spans="1:18" x14ac:dyDescent="0.25">
      <c r="A230" s="15">
        <v>42979</v>
      </c>
      <c r="B230" s="13">
        <f>241392912076.481/(10^9)</f>
        <v>241.392912076481</v>
      </c>
      <c r="C230" s="13">
        <f>122791348271.635/(10^9)</f>
        <v>122.79134827163499</v>
      </c>
      <c r="D230" s="13">
        <f>54865411412.7334/(10^9)</f>
        <v>54.865411412733401</v>
      </c>
      <c r="E230" s="13">
        <f>59221126322.027/(10^9)</f>
        <v>59.221126322026997</v>
      </c>
      <c r="F230" s="13">
        <f>12160441827.2858/(10^9)</f>
        <v>12.160441827285801</v>
      </c>
      <c r="G230" s="13">
        <f>431210113588.135/(10^9)</f>
        <v>431.21011358813502</v>
      </c>
      <c r="H230" s="34">
        <f t="shared" si="12"/>
        <v>1.6257158237775737</v>
      </c>
      <c r="I230" s="13">
        <f>435565828497.429/(10^9)</f>
        <v>435.56582849742904</v>
      </c>
      <c r="J230" s="34">
        <f t="shared" si="11"/>
        <v>-1.7025920115667503</v>
      </c>
      <c r="K230" s="34">
        <f t="shared" si="11"/>
        <v>6.1876038023771063</v>
      </c>
      <c r="L230" s="34">
        <f t="shared" si="11"/>
        <v>6.8859760796102565</v>
      </c>
      <c r="M230" s="34">
        <f t="shared" si="11"/>
        <v>6.9817273818617798</v>
      </c>
      <c r="N230" s="34">
        <f t="shared" si="11"/>
        <v>3.3089396301800633</v>
      </c>
      <c r="O230" s="42">
        <f t="shared" si="13"/>
        <v>1.6875261738396485</v>
      </c>
      <c r="P230" s="38">
        <v>1E+20</v>
      </c>
      <c r="Q230" s="38">
        <v>-1E+20</v>
      </c>
    </row>
    <row r="231" spans="1:18" x14ac:dyDescent="0.25">
      <c r="A231" s="15">
        <v>43009</v>
      </c>
      <c r="B231" s="13">
        <f>241278474219.881/(10^9)</f>
        <v>241.27847421988102</v>
      </c>
      <c r="C231" s="13">
        <f>123673535597.074/(10^9)</f>
        <v>123.67353559707401</v>
      </c>
      <c r="D231" s="13">
        <f>55297225384.337/(10^9)</f>
        <v>55.297225384336997</v>
      </c>
      <c r="E231" s="13">
        <f>59539512267.372/(10^9)</f>
        <v>59.539512267372004</v>
      </c>
      <c r="F231" s="13">
        <f>12167854894.839/(10^9)</f>
        <v>12.167854894839001</v>
      </c>
      <c r="G231" s="13">
        <f>432417090096.132/(10^9)</f>
        <v>432.41709009613203</v>
      </c>
      <c r="H231" s="34">
        <f t="shared" si="12"/>
        <v>1.4938913103256901</v>
      </c>
      <c r="I231" s="13">
        <f>436659376979.167/(10^9)</f>
        <v>436.65937697916701</v>
      </c>
      <c r="J231" s="34">
        <f t="shared" si="11"/>
        <v>-1.7048870820024487</v>
      </c>
      <c r="K231" s="34">
        <f t="shared" si="11"/>
        <v>5.8422474160784832</v>
      </c>
      <c r="L231" s="34">
        <f t="shared" si="11"/>
        <v>6.4976418003380276</v>
      </c>
      <c r="M231" s="34">
        <f t="shared" si="11"/>
        <v>6.6063405664043007</v>
      </c>
      <c r="N231" s="34">
        <f t="shared" si="11"/>
        <v>2.9558708904358744</v>
      </c>
      <c r="O231" s="42">
        <f t="shared" si="13"/>
        <v>1.5537030961653597</v>
      </c>
      <c r="P231" s="38">
        <v>1E+20</v>
      </c>
      <c r="Q231" s="38">
        <v>-1E+20</v>
      </c>
    </row>
    <row r="232" spans="1:18" x14ac:dyDescent="0.25">
      <c r="A232" s="15">
        <v>43040</v>
      </c>
      <c r="B232" s="13">
        <f>241410064461.459/(10^9)</f>
        <v>241.410064461459</v>
      </c>
      <c r="C232" s="13">
        <f>125071879447.171/(10^9)</f>
        <v>125.071879447171</v>
      </c>
      <c r="D232" s="13">
        <f>55516038643.4929/(10^9)</f>
        <v>55.516038643492898</v>
      </c>
      <c r="E232" s="13">
        <f>59920429417.4502/(10^9)</f>
        <v>59.920429417450201</v>
      </c>
      <c r="F232" s="13">
        <f>12211470228.8104/(10^9)</f>
        <v>12.2114702288104</v>
      </c>
      <c r="G232" s="13">
        <f>434209452780.934/(10^9)</f>
        <v>434.20945278093404</v>
      </c>
      <c r="H232" s="34">
        <f t="shared" si="12"/>
        <v>0.9625006385244772</v>
      </c>
      <c r="I232" s="13">
        <f>438613843554.891/(10^9)</f>
        <v>438.61384355489099</v>
      </c>
      <c r="J232" s="34">
        <f t="shared" si="11"/>
        <v>-2.4090512702139466</v>
      </c>
      <c r="K232" s="34">
        <f t="shared" si="11"/>
        <v>5.4558564909514828</v>
      </c>
      <c r="L232" s="34">
        <f t="shared" si="11"/>
        <v>6.3001219632418337</v>
      </c>
      <c r="M232" s="34">
        <f t="shared" si="11"/>
        <v>6.833031271789336</v>
      </c>
      <c r="N232" s="34">
        <f t="shared" si="11"/>
        <v>2.8439516565729628</v>
      </c>
      <c r="O232" s="42">
        <f t="shared" si="13"/>
        <v>1.0788888346815462</v>
      </c>
      <c r="P232" s="38">
        <v>1E+20</v>
      </c>
      <c r="Q232" s="38">
        <v>-1E+20</v>
      </c>
    </row>
    <row r="233" spans="1:18" x14ac:dyDescent="0.25">
      <c r="A233" s="15">
        <v>43070</v>
      </c>
      <c r="B233" s="13">
        <f>240596797912.828/(10^9)</f>
        <v>240.59679791282801</v>
      </c>
      <c r="C233" s="13">
        <f>124850265771.602/(10^9)</f>
        <v>124.85026577160201</v>
      </c>
      <c r="D233" s="13">
        <f>56093247711.6868/(10^9)</f>
        <v>56.0932477116868</v>
      </c>
      <c r="E233" s="13">
        <f>60764058918.6394/(10^9)</f>
        <v>60.7640589186394</v>
      </c>
      <c r="F233" s="13">
        <f>12176267203.3983/(10^9)</f>
        <v>12.1762672033983</v>
      </c>
      <c r="G233" s="13">
        <f>433716578599.515/(10^9)</f>
        <v>433.716578599515</v>
      </c>
      <c r="H233" s="34">
        <f t="shared" si="12"/>
        <v>1.1494224881479553</v>
      </c>
      <c r="I233" s="13">
        <f>438387389806.467/(10^9)</f>
        <v>438.38738980646696</v>
      </c>
      <c r="J233" s="34">
        <f t="shared" si="11"/>
        <v>-1.6021906094095484</v>
      </c>
      <c r="K233" s="34">
        <f t="shared" si="11"/>
        <v>4.4573932020710361</v>
      </c>
      <c r="L233" s="34">
        <f t="shared" si="11"/>
        <v>6.0695037578558653</v>
      </c>
      <c r="M233" s="34">
        <f t="shared" si="11"/>
        <v>6.4583419591319524</v>
      </c>
      <c r="N233" s="34">
        <f t="shared" si="11"/>
        <v>2.6021733837664263</v>
      </c>
      <c r="O233" s="42">
        <f t="shared" si="13"/>
        <v>1.2483417952588116</v>
      </c>
      <c r="P233" s="38">
        <v>1E+20</v>
      </c>
      <c r="Q233" s="38">
        <v>-1E+20</v>
      </c>
    </row>
    <row r="234" spans="1:18" x14ac:dyDescent="0.25">
      <c r="A234" s="15">
        <v>43101</v>
      </c>
      <c r="B234" s="13">
        <f>237408976857.529/(10^9)</f>
        <v>237.40897685752898</v>
      </c>
      <c r="C234" s="13">
        <f>124453947079.889/(10^9)</f>
        <v>124.45394707988901</v>
      </c>
      <c r="D234" s="13">
        <f>56045847737.765/(10^9)</f>
        <v>56.045847737765001</v>
      </c>
      <c r="E234" s="13">
        <f>60592991809.3993/(10^9)</f>
        <v>60.592991809399301</v>
      </c>
      <c r="F234" s="13">
        <f>12149910265.354/(10^9)</f>
        <v>12.149910265354</v>
      </c>
      <c r="G234" s="13">
        <f>430058681940.537/(10^9)</f>
        <v>430.05868194053699</v>
      </c>
      <c r="H234" s="34">
        <f t="shared" si="12"/>
        <v>1.4969581929514142</v>
      </c>
      <c r="I234" s="13">
        <f>434605826012.171/(10^9)</f>
        <v>434.60582601217101</v>
      </c>
      <c r="J234" s="34">
        <f t="shared" si="11"/>
        <v>-1.13103211674489</v>
      </c>
      <c r="K234" s="34">
        <f t="shared" si="11"/>
        <v>4.5102757520270487</v>
      </c>
      <c r="L234" s="34">
        <f t="shared" si="11"/>
        <v>6.3633943116197189</v>
      </c>
      <c r="M234" s="34">
        <f t="shared" si="11"/>
        <v>6.7042157706838745</v>
      </c>
      <c r="N234" s="34">
        <f t="shared" si="11"/>
        <v>2.8329385332446222</v>
      </c>
      <c r="O234" s="42">
        <f t="shared" si="13"/>
        <v>1.5887582394696453</v>
      </c>
      <c r="P234" s="38">
        <v>1E+20</v>
      </c>
      <c r="Q234" s="38">
        <v>-1E+20</v>
      </c>
    </row>
  </sheetData>
  <mergeCells count="3">
    <mergeCell ref="A3:A4"/>
    <mergeCell ref="B3:I3"/>
    <mergeCell ref="J3:O3"/>
  </mergeCells>
  <pageMargins left="0.7" right="0.7" top="0.75" bottom="0.75" header="0.3" footer="0.3"/>
  <pageSetup scale="53" orientation="portrait" r:id="rId1"/>
  <colBreaks count="1" manualBreakCount="1">
    <brk id="35" min="6" max="3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4"/>
  <sheetViews>
    <sheetView view="pageBreakPreview" zoomScale="85" zoomScaleNormal="100" zoomScaleSheetLayoutView="85" workbookViewId="0">
      <selection activeCell="E3" sqref="E3"/>
    </sheetView>
  </sheetViews>
  <sheetFormatPr baseColWidth="10" defaultRowHeight="15" x14ac:dyDescent="0.25"/>
  <cols>
    <col min="1" max="1" width="11.42578125" style="130"/>
    <col min="2" max="2" width="17.28515625" style="130" customWidth="1"/>
    <col min="3" max="3" width="16" style="130" customWidth="1"/>
    <col min="4" max="4" width="15.7109375" style="130" customWidth="1"/>
    <col min="5" max="27" width="15.5703125" style="130" customWidth="1"/>
    <col min="28" max="16384" width="11.42578125" style="130"/>
  </cols>
  <sheetData>
    <row r="1" spans="1:27" ht="18" customHeight="1" x14ac:dyDescent="0.25">
      <c r="P1" s="139"/>
      <c r="Q1" s="139" t="s">
        <v>87</v>
      </c>
      <c r="R1" s="139"/>
      <c r="S1" s="139"/>
      <c r="T1" s="139"/>
      <c r="U1" s="139"/>
      <c r="V1" s="139"/>
      <c r="W1" s="139"/>
      <c r="X1" s="139"/>
      <c r="Y1" s="139"/>
    </row>
    <row r="2" spans="1:27" ht="16.5" customHeight="1" x14ac:dyDescent="0.25">
      <c r="B2" s="177" t="s">
        <v>82</v>
      </c>
      <c r="C2" s="177"/>
      <c r="D2" s="177"/>
      <c r="E2" s="177"/>
      <c r="F2" s="177" t="s">
        <v>83</v>
      </c>
      <c r="G2" s="177"/>
      <c r="H2" s="177"/>
      <c r="I2" s="177"/>
      <c r="J2" s="177" t="s">
        <v>84</v>
      </c>
      <c r="K2" s="177"/>
      <c r="L2" s="177"/>
      <c r="M2" s="177"/>
      <c r="N2" s="131"/>
      <c r="P2" s="139"/>
      <c r="Q2" s="140" t="s">
        <v>88</v>
      </c>
      <c r="R2" s="139"/>
      <c r="S2" s="139"/>
      <c r="T2" s="139"/>
      <c r="U2" s="139"/>
      <c r="V2" s="139"/>
      <c r="W2" s="139"/>
      <c r="X2" s="139"/>
      <c r="Y2" s="139"/>
    </row>
    <row r="3" spans="1:27" ht="43.5" x14ac:dyDescent="0.25">
      <c r="A3" s="132" t="s">
        <v>70</v>
      </c>
      <c r="B3" s="133" t="s">
        <v>39</v>
      </c>
      <c r="C3" s="133" t="s">
        <v>10</v>
      </c>
      <c r="D3" s="133" t="s">
        <v>12</v>
      </c>
      <c r="E3" s="133" t="s">
        <v>14</v>
      </c>
      <c r="F3" s="133" t="s">
        <v>11</v>
      </c>
      <c r="G3" s="133" t="s">
        <v>10</v>
      </c>
      <c r="H3" s="133" t="s">
        <v>12</v>
      </c>
      <c r="I3" s="133" t="s">
        <v>14</v>
      </c>
      <c r="J3" s="133" t="s">
        <v>11</v>
      </c>
      <c r="K3" s="133" t="s">
        <v>10</v>
      </c>
      <c r="L3" s="133" t="s">
        <v>12</v>
      </c>
      <c r="M3" s="133" t="s">
        <v>14</v>
      </c>
      <c r="N3" s="134" t="s">
        <v>85</v>
      </c>
      <c r="O3" s="134" t="s">
        <v>86</v>
      </c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35"/>
      <c r="AA3" s="135"/>
    </row>
    <row r="4" spans="1:27" x14ac:dyDescent="0.25">
      <c r="A4" s="136">
        <v>39508</v>
      </c>
      <c r="B4" s="137">
        <v>0</v>
      </c>
      <c r="C4" s="137">
        <v>-16.666666666666664</v>
      </c>
      <c r="D4" s="137">
        <v>0</v>
      </c>
      <c r="E4" s="137">
        <v>-33.333333333333329</v>
      </c>
      <c r="F4" s="137"/>
      <c r="G4" s="137"/>
      <c r="H4" s="137"/>
      <c r="I4" s="137"/>
      <c r="J4" s="137">
        <v>53.209197882847199</v>
      </c>
      <c r="K4" s="137">
        <v>111.00681014193499</v>
      </c>
      <c r="L4" s="137">
        <v>15.9917780483852</v>
      </c>
      <c r="M4" s="137">
        <v>2.8471989484576601</v>
      </c>
      <c r="N4" s="137">
        <f t="shared" ref="N4:N43" si="0">SUMPRODUCT(B4:E4,J4:M4)/SUM(J4:M4)</f>
        <v>-10.625332785944424</v>
      </c>
      <c r="O4" s="137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37"/>
      <c r="AA4" s="137"/>
    </row>
    <row r="5" spans="1:27" x14ac:dyDescent="0.25">
      <c r="A5" s="136">
        <v>39630</v>
      </c>
      <c r="B5" s="137">
        <v>-35.714285714285715</v>
      </c>
      <c r="C5" s="137">
        <v>-64.285714285714292</v>
      </c>
      <c r="D5" s="137">
        <v>0</v>
      </c>
      <c r="E5" s="137">
        <v>-14.285714285714285</v>
      </c>
      <c r="F5" s="137"/>
      <c r="G5" s="137"/>
      <c r="H5" s="137"/>
      <c r="I5" s="137"/>
      <c r="J5" s="137">
        <v>54.447128995621199</v>
      </c>
      <c r="K5" s="137">
        <v>115.759077775957</v>
      </c>
      <c r="L5" s="137">
        <v>16.237946681958501</v>
      </c>
      <c r="M5" s="137">
        <v>3.1058165280355001</v>
      </c>
      <c r="N5" s="137">
        <f t="shared" si="0"/>
        <v>-49.752390515362933</v>
      </c>
      <c r="O5" s="137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37"/>
      <c r="AA5" s="137"/>
    </row>
    <row r="6" spans="1:27" x14ac:dyDescent="0.25">
      <c r="A6" s="136">
        <v>39722</v>
      </c>
      <c r="B6" s="137">
        <v>-78.571428571428569</v>
      </c>
      <c r="C6" s="137">
        <v>-71.428571428571431</v>
      </c>
      <c r="D6" s="137">
        <v>-21.428571428571427</v>
      </c>
      <c r="E6" s="137">
        <v>-35.714285714285715</v>
      </c>
      <c r="F6" s="137"/>
      <c r="G6" s="137"/>
      <c r="H6" s="137"/>
      <c r="I6" s="137"/>
      <c r="J6" s="137">
        <v>55.788444758261903</v>
      </c>
      <c r="K6" s="137">
        <v>121.46072732994099</v>
      </c>
      <c r="L6" s="137">
        <v>16.726583147209102</v>
      </c>
      <c r="M6" s="137">
        <v>3.3333549566423404</v>
      </c>
      <c r="N6" s="137">
        <f t="shared" si="0"/>
        <v>-68.606154070363232</v>
      </c>
      <c r="O6" s="137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37"/>
      <c r="AA6" s="137"/>
    </row>
    <row r="7" spans="1:27" x14ac:dyDescent="0.25">
      <c r="A7" s="136">
        <v>39783</v>
      </c>
      <c r="B7" s="137">
        <v>-80</v>
      </c>
      <c r="C7" s="137">
        <v>-73.333333333333329</v>
      </c>
      <c r="D7" s="137">
        <v>-20</v>
      </c>
      <c r="E7" s="137">
        <v>-40</v>
      </c>
      <c r="F7" s="137"/>
      <c r="G7" s="137"/>
      <c r="H7" s="137"/>
      <c r="I7" s="137"/>
      <c r="J7" s="137">
        <v>56.461635656466498</v>
      </c>
      <c r="K7" s="137">
        <v>126.140641229116</v>
      </c>
      <c r="L7" s="137">
        <v>16.634544732118002</v>
      </c>
      <c r="M7" s="137">
        <v>4.2474775649896701</v>
      </c>
      <c r="N7" s="137">
        <f t="shared" si="0"/>
        <v>-70.127447656700255</v>
      </c>
      <c r="O7" s="137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37"/>
      <c r="AA7" s="137"/>
    </row>
    <row r="8" spans="1:27" x14ac:dyDescent="0.25">
      <c r="A8" s="136">
        <v>39873</v>
      </c>
      <c r="B8" s="137">
        <v>-77.777777777777786</v>
      </c>
      <c r="C8" s="137">
        <v>-50</v>
      </c>
      <c r="D8" s="137">
        <v>-27.777777777777779</v>
      </c>
      <c r="E8" s="137">
        <v>-55.555555555555557</v>
      </c>
      <c r="F8" s="137">
        <v>-61.438514555384096</v>
      </c>
      <c r="G8" s="137">
        <v>-25.366669212108189</v>
      </c>
      <c r="H8" s="137">
        <v>-15.345631093088674</v>
      </c>
      <c r="I8" s="137">
        <v>-5.7711799523784455</v>
      </c>
      <c r="J8" s="137">
        <v>54.488209660688199</v>
      </c>
      <c r="K8" s="137">
        <v>124.32523902362601</v>
      </c>
      <c r="L8" s="137">
        <v>16.442063762609898</v>
      </c>
      <c r="M8" s="137">
        <v>4.4408827262530206</v>
      </c>
      <c r="N8" s="137">
        <f t="shared" si="0"/>
        <v>-55.87318441288437</v>
      </c>
      <c r="O8" s="137">
        <f>SUMPRODUCT(F8:I8,J8:M8)/SUM(J8:M8)</f>
        <v>-33.9482084679357</v>
      </c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37"/>
      <c r="AA8" s="137"/>
    </row>
    <row r="9" spans="1:27" x14ac:dyDescent="0.25">
      <c r="A9" s="136">
        <v>39965</v>
      </c>
      <c r="B9" s="137">
        <v>-52.631578947368418</v>
      </c>
      <c r="C9" s="137">
        <v>-52.631578947368418</v>
      </c>
      <c r="D9" s="137">
        <v>-10.526315789473683</v>
      </c>
      <c r="E9" s="137">
        <v>-36.84210526315789</v>
      </c>
      <c r="F9" s="137">
        <v>-60.095523265261797</v>
      </c>
      <c r="G9" s="137">
        <v>-14.146272246849984</v>
      </c>
      <c r="H9" s="137">
        <v>-29.742854274216342</v>
      </c>
      <c r="I9" s="137">
        <v>-10.259102049387623</v>
      </c>
      <c r="J9" s="137">
        <v>53.880630683345004</v>
      </c>
      <c r="K9" s="137">
        <v>127.06377952665601</v>
      </c>
      <c r="L9" s="137">
        <v>16.646264601540501</v>
      </c>
      <c r="M9" s="137">
        <v>4.7239196341217404</v>
      </c>
      <c r="N9" s="137">
        <f t="shared" si="0"/>
        <v>-48.798521038135995</v>
      </c>
      <c r="O9" s="137">
        <f t="shared" ref="O9:O44" si="1">SUMPRODUCT(F9:I9,J9:M9)/SUM(J9:M9)</f>
        <v>-27.576033868517356</v>
      </c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37"/>
      <c r="AA9" s="137"/>
    </row>
    <row r="10" spans="1:27" x14ac:dyDescent="0.25">
      <c r="A10" s="136">
        <v>40057</v>
      </c>
      <c r="B10" s="137">
        <v>-50</v>
      </c>
      <c r="C10" s="137">
        <v>-27.777777777777779</v>
      </c>
      <c r="D10" s="137">
        <v>-11.111111111111111</v>
      </c>
      <c r="E10" s="137">
        <v>-44.444444444444443</v>
      </c>
      <c r="F10" s="137">
        <v>-27.717380767674488</v>
      </c>
      <c r="G10" s="137">
        <v>-12.548385500673334</v>
      </c>
      <c r="H10" s="137">
        <v>13.374501722058248</v>
      </c>
      <c r="I10" s="137">
        <v>-16.33599968678481</v>
      </c>
      <c r="J10" s="137">
        <v>54.163935418137001</v>
      </c>
      <c r="K10" s="137">
        <v>122.811883674058</v>
      </c>
      <c r="L10" s="137">
        <v>17.332893148343498</v>
      </c>
      <c r="M10" s="137">
        <v>4.9934689422592404</v>
      </c>
      <c r="N10" s="137">
        <f t="shared" si="0"/>
        <v>-32.785178766907883</v>
      </c>
      <c r="O10" s="137">
        <f t="shared" si="1"/>
        <v>-14.511270087051788</v>
      </c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37"/>
      <c r="AA10" s="137"/>
    </row>
    <row r="11" spans="1:27" x14ac:dyDescent="0.25">
      <c r="A11" s="136">
        <v>40148</v>
      </c>
      <c r="B11" s="137">
        <v>-41.17647058823529</v>
      </c>
      <c r="C11" s="137">
        <v>-35.294117647058826</v>
      </c>
      <c r="D11" s="137">
        <v>0</v>
      </c>
      <c r="E11" s="137">
        <v>-29.411764705882355</v>
      </c>
      <c r="F11" s="137">
        <v>-41.228947590803408</v>
      </c>
      <c r="G11" s="137">
        <v>-17.934611947184777</v>
      </c>
      <c r="H11" s="137">
        <v>19.511113184206451</v>
      </c>
      <c r="I11" s="137">
        <v>9.2553138918444589</v>
      </c>
      <c r="J11" s="137">
        <v>55.637850659482595</v>
      </c>
      <c r="K11" s="137">
        <v>123.21561102041601</v>
      </c>
      <c r="L11" s="137">
        <v>18.363846034460401</v>
      </c>
      <c r="M11" s="137">
        <v>5.1361407818823004</v>
      </c>
      <c r="N11" s="137">
        <f t="shared" si="0"/>
        <v>-33.559198556879359</v>
      </c>
      <c r="O11" s="137">
        <f t="shared" si="1"/>
        <v>-20.251093100904459</v>
      </c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37"/>
      <c r="AA11" s="137"/>
    </row>
    <row r="12" spans="1:27" x14ac:dyDescent="0.25">
      <c r="A12" s="136">
        <v>40238</v>
      </c>
      <c r="B12" s="137">
        <v>-33.333333333333329</v>
      </c>
      <c r="C12" s="137">
        <v>-22.222222222222221</v>
      </c>
      <c r="D12" s="137">
        <v>-11.111111111111111</v>
      </c>
      <c r="E12" s="137">
        <v>-16.666666666666664</v>
      </c>
      <c r="F12" s="137">
        <v>18.861525537696693</v>
      </c>
      <c r="G12" s="137">
        <v>2.3273755389688033</v>
      </c>
      <c r="H12" s="137">
        <v>16.372880873185824</v>
      </c>
      <c r="I12" s="137">
        <v>20.19755652690823</v>
      </c>
      <c r="J12" s="137">
        <v>55.629270282541199</v>
      </c>
      <c r="K12" s="137">
        <v>121.92572737886999</v>
      </c>
      <c r="L12" s="137">
        <v>19.1727341599019</v>
      </c>
      <c r="M12" s="137">
        <v>5.0808452976944505</v>
      </c>
      <c r="N12" s="137">
        <f t="shared" si="0"/>
        <v>-24.089564585188935</v>
      </c>
      <c r="O12" s="137">
        <f t="shared" si="1"/>
        <v>8.6693709209218444</v>
      </c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37"/>
      <c r="AA12" s="137"/>
    </row>
    <row r="13" spans="1:27" x14ac:dyDescent="0.25">
      <c r="A13" s="136">
        <v>40330</v>
      </c>
      <c r="B13" s="137">
        <v>0</v>
      </c>
      <c r="C13" s="137">
        <v>-11.111111111111111</v>
      </c>
      <c r="D13" s="137">
        <v>0</v>
      </c>
      <c r="E13" s="137">
        <v>-27.777777777777779</v>
      </c>
      <c r="F13" s="137">
        <v>13.340983204213099</v>
      </c>
      <c r="G13" s="137">
        <v>21.830743748299952</v>
      </c>
      <c r="H13" s="137">
        <v>15.704333575435756</v>
      </c>
      <c r="I13" s="137">
        <v>9.9862566794641285</v>
      </c>
      <c r="J13" s="137">
        <v>57.056794348782901</v>
      </c>
      <c r="K13" s="137">
        <v>125.92843552744399</v>
      </c>
      <c r="L13" s="137">
        <v>19.899593554509202</v>
      </c>
      <c r="M13" s="137">
        <v>5.1500909850810803</v>
      </c>
      <c r="N13" s="137">
        <f t="shared" si="0"/>
        <v>-7.4134811766744511</v>
      </c>
      <c r="O13" s="137">
        <f t="shared" si="1"/>
        <v>18.623052473147499</v>
      </c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37"/>
      <c r="AA13" s="137"/>
    </row>
    <row r="14" spans="1:27" x14ac:dyDescent="0.25">
      <c r="A14" s="136">
        <v>40422</v>
      </c>
      <c r="B14" s="137">
        <v>15.789473684210526</v>
      </c>
      <c r="C14" s="137">
        <v>0</v>
      </c>
      <c r="D14" s="137">
        <v>0</v>
      </c>
      <c r="E14" s="137">
        <v>-21.052631578947366</v>
      </c>
      <c r="F14" s="137">
        <v>24.386637161073114</v>
      </c>
      <c r="G14" s="137">
        <v>48.923023552112419</v>
      </c>
      <c r="H14" s="137">
        <v>10.907191897757585</v>
      </c>
      <c r="I14" s="137">
        <v>-15.884220633891935</v>
      </c>
      <c r="J14" s="137">
        <v>59.708415100788002</v>
      </c>
      <c r="K14" s="137">
        <v>131.944501713873</v>
      </c>
      <c r="L14" s="137">
        <v>20.751477395259499</v>
      </c>
      <c r="M14" s="137">
        <v>5.3496923568037298</v>
      </c>
      <c r="N14" s="137">
        <f t="shared" si="0"/>
        <v>3.8122790703950331</v>
      </c>
      <c r="O14" s="137">
        <f t="shared" si="1"/>
        <v>36.980137543232232</v>
      </c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37"/>
      <c r="AA14" s="137"/>
    </row>
    <row r="15" spans="1:27" x14ac:dyDescent="0.25">
      <c r="A15" s="136">
        <v>40513</v>
      </c>
      <c r="B15" s="137">
        <v>17.647058823529413</v>
      </c>
      <c r="C15" s="137">
        <v>11.76470588235294</v>
      </c>
      <c r="D15" s="137">
        <v>5.8823529411764701</v>
      </c>
      <c r="E15" s="137">
        <v>-23.52941176470588</v>
      </c>
      <c r="F15" s="137">
        <v>51.806103627977549</v>
      </c>
      <c r="G15" s="137">
        <v>55.327510635406561</v>
      </c>
      <c r="H15" s="137">
        <v>24.44134917522965</v>
      </c>
      <c r="I15" s="137">
        <v>28.268409921164551</v>
      </c>
      <c r="J15" s="137">
        <v>62.8767706999163</v>
      </c>
      <c r="K15" s="137">
        <v>142.51663283205599</v>
      </c>
      <c r="L15" s="137">
        <v>18.694614715439201</v>
      </c>
      <c r="M15" s="137">
        <v>5.6004982544674702</v>
      </c>
      <c r="N15" s="137">
        <f t="shared" si="0"/>
        <v>12.035639718642377</v>
      </c>
      <c r="O15" s="137">
        <f t="shared" si="1"/>
        <v>51.189889607261499</v>
      </c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37"/>
      <c r="AA15" s="137"/>
    </row>
    <row r="16" spans="1:27" x14ac:dyDescent="0.25">
      <c r="A16" s="136">
        <v>40603</v>
      </c>
      <c r="B16" s="137">
        <v>5.2631578947368416</v>
      </c>
      <c r="C16" s="137">
        <v>5.2631578947368416</v>
      </c>
      <c r="D16" s="137">
        <v>5.2631578947368416</v>
      </c>
      <c r="E16" s="137">
        <v>10.526315789473683</v>
      </c>
      <c r="F16" s="137">
        <v>16.538269645493749</v>
      </c>
      <c r="G16" s="137">
        <v>13.044764596413369</v>
      </c>
      <c r="H16" s="137">
        <v>-0.19778870166602991</v>
      </c>
      <c r="I16" s="137">
        <v>29.813361610213661</v>
      </c>
      <c r="J16" s="137">
        <v>64.580045374880598</v>
      </c>
      <c r="K16" s="137">
        <v>144.842094410774</v>
      </c>
      <c r="L16" s="137">
        <v>20.166999556059398</v>
      </c>
      <c r="M16" s="137">
        <v>6.4198521938646005</v>
      </c>
      <c r="N16" s="137">
        <f t="shared" si="0"/>
        <v>5.4063248797628702</v>
      </c>
      <c r="O16" s="137">
        <f t="shared" si="1"/>
        <v>13.325262648626868</v>
      </c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37"/>
      <c r="AA16" s="137"/>
    </row>
    <row r="17" spans="1:27" x14ac:dyDescent="0.25">
      <c r="A17" s="136">
        <v>40695</v>
      </c>
      <c r="B17" s="137">
        <v>-16.666666666666664</v>
      </c>
      <c r="C17" s="137">
        <v>-11.111111111111111</v>
      </c>
      <c r="D17" s="137">
        <v>11.111111111111111</v>
      </c>
      <c r="E17" s="137">
        <v>-5.5555555555555554</v>
      </c>
      <c r="F17" s="137">
        <v>58.683051118741282</v>
      </c>
      <c r="G17" s="137">
        <v>31.621557242613296</v>
      </c>
      <c r="H17" s="137">
        <v>27.269131132340473</v>
      </c>
      <c r="I17" s="137">
        <v>26.256747979437161</v>
      </c>
      <c r="J17" s="137">
        <v>69.032895234904913</v>
      </c>
      <c r="K17" s="137">
        <v>150.59466685098201</v>
      </c>
      <c r="L17" s="137">
        <v>21.746070117684397</v>
      </c>
      <c r="M17" s="137">
        <v>6.7367041375350203</v>
      </c>
      <c r="N17" s="137">
        <f t="shared" si="0"/>
        <v>-10.558308458481191</v>
      </c>
      <c r="O17" s="137">
        <f t="shared" si="1"/>
        <v>38.623861141495908</v>
      </c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37"/>
      <c r="AA17" s="137"/>
    </row>
    <row r="18" spans="1:27" x14ac:dyDescent="0.25">
      <c r="A18" s="136">
        <v>40787</v>
      </c>
      <c r="B18" s="137">
        <v>-4.7619047619047619</v>
      </c>
      <c r="C18" s="137">
        <v>-4.7619047619047619</v>
      </c>
      <c r="D18" s="137">
        <v>9.5238095238095237</v>
      </c>
      <c r="E18" s="137">
        <v>-14.285714285714285</v>
      </c>
      <c r="F18" s="137">
        <v>29.561322591725041</v>
      </c>
      <c r="G18" s="137">
        <v>43.515948418326772</v>
      </c>
      <c r="H18" s="137">
        <v>23.764171922948812</v>
      </c>
      <c r="I18" s="137">
        <v>28.382600532843284</v>
      </c>
      <c r="J18" s="137">
        <v>72.613476277108902</v>
      </c>
      <c r="K18" s="137">
        <v>157.77888502263599</v>
      </c>
      <c r="L18" s="137">
        <v>23.281868587056501</v>
      </c>
      <c r="M18" s="137">
        <v>7.1450076613910802</v>
      </c>
      <c r="N18" s="137">
        <f t="shared" si="0"/>
        <v>-3.7475990950917248</v>
      </c>
      <c r="O18" s="137">
        <f t="shared" si="1"/>
        <v>37.453205280239523</v>
      </c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37"/>
      <c r="AA18" s="137"/>
    </row>
    <row r="19" spans="1:27" x14ac:dyDescent="0.25">
      <c r="A19" s="136">
        <v>40878</v>
      </c>
      <c r="B19" s="137">
        <v>-23.809523809523807</v>
      </c>
      <c r="C19" s="137">
        <v>-14.285714285714285</v>
      </c>
      <c r="D19" s="137">
        <v>9.5238095238095237</v>
      </c>
      <c r="E19" s="137">
        <v>-9.5238095238095237</v>
      </c>
      <c r="F19" s="137">
        <v>20.964664828486498</v>
      </c>
      <c r="G19" s="137">
        <v>16.252556407540659</v>
      </c>
      <c r="H19" s="137">
        <v>23.190670598412179</v>
      </c>
      <c r="I19" s="137">
        <v>15.092215983946911</v>
      </c>
      <c r="J19" s="137">
        <v>76.238961498062608</v>
      </c>
      <c r="K19" s="137">
        <v>164.07250087836499</v>
      </c>
      <c r="L19" s="137">
        <v>24.706184587013901</v>
      </c>
      <c r="M19" s="137">
        <v>7.5110078879721804</v>
      </c>
      <c r="N19" s="137">
        <f t="shared" si="0"/>
        <v>-14.660266287450808</v>
      </c>
      <c r="O19" s="137">
        <f t="shared" si="1"/>
        <v>18.167750450438145</v>
      </c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37"/>
      <c r="AA19" s="137"/>
    </row>
    <row r="20" spans="1:27" x14ac:dyDescent="0.25">
      <c r="A20" s="136">
        <v>40969</v>
      </c>
      <c r="B20" s="137">
        <v>-38.888888888888893</v>
      </c>
      <c r="C20" s="137">
        <v>-23.809523809523807</v>
      </c>
      <c r="D20" s="137">
        <v>21.428571428571427</v>
      </c>
      <c r="E20" s="137">
        <v>-23.076923076923077</v>
      </c>
      <c r="F20" s="137">
        <v>1.9411022805851563</v>
      </c>
      <c r="G20" s="137">
        <v>14.3595575700231</v>
      </c>
      <c r="H20" s="137">
        <v>0.24302404871568581</v>
      </c>
      <c r="I20" s="137">
        <v>14.522367013144786</v>
      </c>
      <c r="J20" s="137">
        <v>78.262781873773307</v>
      </c>
      <c r="K20" s="137">
        <v>163.354886529352</v>
      </c>
      <c r="L20" s="137">
        <v>25.618039859966597</v>
      </c>
      <c r="M20" s="137">
        <v>7.6703931281725506</v>
      </c>
      <c r="N20" s="137">
        <f t="shared" si="0"/>
        <v>-23.866351931194281</v>
      </c>
      <c r="O20" s="137">
        <f t="shared" si="1"/>
        <v>9.5132047361514047</v>
      </c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37"/>
      <c r="AA20" s="137"/>
    </row>
    <row r="21" spans="1:27" x14ac:dyDescent="0.25">
      <c r="A21" s="136">
        <v>41061</v>
      </c>
      <c r="B21" s="137">
        <v>-52.631578947368418</v>
      </c>
      <c r="C21" s="137">
        <v>-30</v>
      </c>
      <c r="D21" s="137">
        <v>-14.285714285714285</v>
      </c>
      <c r="E21" s="137">
        <v>-45.454545454545453</v>
      </c>
      <c r="F21" s="137">
        <v>-18.683690483436958</v>
      </c>
      <c r="G21" s="137">
        <v>0.29691490271196219</v>
      </c>
      <c r="H21" s="137">
        <v>9.7276453584821052</v>
      </c>
      <c r="I21" s="137">
        <v>-8.840094496802763</v>
      </c>
      <c r="J21" s="137">
        <v>81.353564364183299</v>
      </c>
      <c r="K21" s="137">
        <v>168.46534996057198</v>
      </c>
      <c r="L21" s="137">
        <v>26.780344795436797</v>
      </c>
      <c r="M21" s="137">
        <v>7.9397057073809902</v>
      </c>
      <c r="N21" s="137">
        <f t="shared" si="0"/>
        <v>-35.422913408716248</v>
      </c>
      <c r="O21" s="137">
        <f t="shared" si="1"/>
        <v>-4.4972504769900512</v>
      </c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37"/>
      <c r="AA21" s="137"/>
    </row>
    <row r="22" spans="1:27" x14ac:dyDescent="0.25">
      <c r="A22" s="136">
        <v>41153</v>
      </c>
      <c r="B22" s="137">
        <v>-50</v>
      </c>
      <c r="C22" s="137">
        <v>-25</v>
      </c>
      <c r="D22" s="137">
        <v>0</v>
      </c>
      <c r="E22" s="137">
        <v>-20</v>
      </c>
      <c r="F22" s="137">
        <v>-13.777358889603105</v>
      </c>
      <c r="G22" s="137">
        <v>-6.2192621662344907</v>
      </c>
      <c r="H22" s="137">
        <v>13.71374085108471</v>
      </c>
      <c r="I22" s="137">
        <v>4.8717555007636539</v>
      </c>
      <c r="J22" s="137">
        <v>84.150248767366804</v>
      </c>
      <c r="K22" s="137">
        <v>172.23179555862799</v>
      </c>
      <c r="L22" s="137">
        <v>27.3157768424994</v>
      </c>
      <c r="M22" s="137">
        <v>8.3891170414000094</v>
      </c>
      <c r="N22" s="137">
        <f t="shared" si="0"/>
        <v>-29.720910224077851</v>
      </c>
      <c r="O22" s="137">
        <f t="shared" si="1"/>
        <v>-6.2140801883321961</v>
      </c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37"/>
      <c r="AA22" s="137"/>
    </row>
    <row r="23" spans="1:27" x14ac:dyDescent="0.25">
      <c r="A23" s="136">
        <v>41244</v>
      </c>
      <c r="B23" s="137">
        <v>-45.454545454545453</v>
      </c>
      <c r="C23" s="137">
        <v>-40.909090909090914</v>
      </c>
      <c r="D23" s="137">
        <v>-7.1428571428571423</v>
      </c>
      <c r="E23" s="137">
        <v>-41.666666666666671</v>
      </c>
      <c r="F23" s="137">
        <v>-1.6439123012226726</v>
      </c>
      <c r="G23" s="137">
        <v>9.1148838596783897</v>
      </c>
      <c r="H23" s="137">
        <v>20.835212008264762</v>
      </c>
      <c r="I23" s="137">
        <v>8.5329162765070059</v>
      </c>
      <c r="J23" s="137">
        <v>87.2642321488687</v>
      </c>
      <c r="K23" s="137">
        <v>181.230674340658</v>
      </c>
      <c r="L23" s="137">
        <v>29.3240294951461</v>
      </c>
      <c r="M23" s="137">
        <v>8.7815132143266599</v>
      </c>
      <c r="N23" s="137">
        <f t="shared" si="0"/>
        <v>-38.995024004650553</v>
      </c>
      <c r="O23" s="137">
        <f t="shared" si="1"/>
        <v>7.1570217786035997</v>
      </c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37"/>
      <c r="AA23" s="137"/>
    </row>
    <row r="24" spans="1:27" x14ac:dyDescent="0.25">
      <c r="A24" s="136">
        <v>41334</v>
      </c>
      <c r="B24" s="137">
        <v>-47.368421052631575</v>
      </c>
      <c r="C24" s="137">
        <v>-40</v>
      </c>
      <c r="D24" s="137">
        <v>-7.6923076923076925</v>
      </c>
      <c r="E24" s="137">
        <v>-36.363636363636367</v>
      </c>
      <c r="F24" s="137">
        <v>-48.856766401392591</v>
      </c>
      <c r="G24" s="137">
        <v>-36.15847330979885</v>
      </c>
      <c r="H24" s="137">
        <v>-8.8200276969622635</v>
      </c>
      <c r="I24" s="137">
        <v>-1.3210520004265442</v>
      </c>
      <c r="J24" s="137">
        <v>88.071199204868705</v>
      </c>
      <c r="K24" s="137">
        <v>181.71940200897299</v>
      </c>
      <c r="L24" s="137">
        <v>30.570801409275003</v>
      </c>
      <c r="M24" s="137">
        <v>8.94069825670028</v>
      </c>
      <c r="N24" s="137">
        <f t="shared" si="0"/>
        <v>-38.799755979195972</v>
      </c>
      <c r="O24" s="137">
        <f t="shared" si="1"/>
        <v>-36.065117451163445</v>
      </c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37"/>
      <c r="AA24" s="137"/>
    </row>
    <row r="25" spans="1:27" x14ac:dyDescent="0.25">
      <c r="A25" s="136">
        <v>41426</v>
      </c>
      <c r="B25" s="137">
        <v>-37.5</v>
      </c>
      <c r="C25" s="137">
        <v>-44.444444444444443</v>
      </c>
      <c r="D25" s="137">
        <v>18.181818181818183</v>
      </c>
      <c r="E25" s="137">
        <v>-44.444444444444443</v>
      </c>
      <c r="F25" s="137">
        <v>7.8063591507559424</v>
      </c>
      <c r="G25" s="137">
        <v>3.2480111607320441</v>
      </c>
      <c r="H25" s="137">
        <v>41.757698962011389</v>
      </c>
      <c r="I25" s="137">
        <v>0.67413312958954208</v>
      </c>
      <c r="J25" s="137">
        <v>89.886156266966793</v>
      </c>
      <c r="K25" s="137">
        <v>190.079333250806</v>
      </c>
      <c r="L25" s="137">
        <v>32.165601338776099</v>
      </c>
      <c r="M25" s="137">
        <v>9.3178607305601684</v>
      </c>
      <c r="N25" s="137">
        <f t="shared" si="0"/>
        <v>-36.2359223681812</v>
      </c>
      <c r="O25" s="137">
        <f t="shared" si="1"/>
        <v>8.3014935261126794</v>
      </c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37"/>
      <c r="AA25" s="137"/>
    </row>
    <row r="26" spans="1:27" x14ac:dyDescent="0.25">
      <c r="A26" s="136">
        <v>41518</v>
      </c>
      <c r="B26" s="137">
        <v>-21.052631578947366</v>
      </c>
      <c r="C26" s="137">
        <v>-31.578947368421101</v>
      </c>
      <c r="D26" s="137">
        <v>0</v>
      </c>
      <c r="E26" s="137">
        <v>-33.333333333333329</v>
      </c>
      <c r="F26" s="137">
        <v>13.140152081813017</v>
      </c>
      <c r="G26" s="137">
        <v>6.9419764304857257</v>
      </c>
      <c r="H26" s="137">
        <v>37.420412360156305</v>
      </c>
      <c r="I26" s="137">
        <v>4.3239539300874821</v>
      </c>
      <c r="J26" s="137">
        <v>92.632973014561998</v>
      </c>
      <c r="K26" s="137">
        <v>194.03449170150202</v>
      </c>
      <c r="L26" s="137">
        <v>34.6806735714704</v>
      </c>
      <c r="M26" s="137">
        <v>9.7692520720641802</v>
      </c>
      <c r="N26" s="137">
        <f t="shared" si="0"/>
        <v>-25.378354729866867</v>
      </c>
      <c r="O26" s="137">
        <f t="shared" si="1"/>
        <v>11.790987839443655</v>
      </c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37"/>
      <c r="AA26" s="137"/>
    </row>
    <row r="27" spans="1:27" x14ac:dyDescent="0.25">
      <c r="A27" s="136">
        <v>41609</v>
      </c>
      <c r="B27" s="137">
        <v>-12.5</v>
      </c>
      <c r="C27" s="138">
        <v>-29.411764705882348</v>
      </c>
      <c r="D27" s="137">
        <v>0</v>
      </c>
      <c r="E27" s="137">
        <v>-42.857142857142854</v>
      </c>
      <c r="F27" s="137">
        <v>21.996714369601101</v>
      </c>
      <c r="G27" s="137">
        <v>14.009277407120205</v>
      </c>
      <c r="H27" s="137">
        <v>38.33328336953354</v>
      </c>
      <c r="I27" s="137">
        <v>15.888273729927255</v>
      </c>
      <c r="J27" s="137">
        <v>95.408675686975002</v>
      </c>
      <c r="K27" s="137">
        <v>197.20747258649399</v>
      </c>
      <c r="L27" s="137">
        <v>37.429896572971394</v>
      </c>
      <c r="M27" s="137">
        <v>10.0667129812337</v>
      </c>
      <c r="N27" s="137">
        <f t="shared" si="0"/>
        <v>-21.828815925050215</v>
      </c>
      <c r="O27" s="137">
        <f t="shared" si="1"/>
        <v>18.982425540741414</v>
      </c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37"/>
      <c r="AA27" s="137"/>
    </row>
    <row r="28" spans="1:27" x14ac:dyDescent="0.25">
      <c r="A28" s="136">
        <v>41699</v>
      </c>
      <c r="B28" s="138">
        <v>11.76470588235294</v>
      </c>
      <c r="C28" s="137">
        <v>-26.315789473684209</v>
      </c>
      <c r="D28" s="137">
        <v>11.111111111111111</v>
      </c>
      <c r="E28" s="137">
        <v>-33.333333333333329</v>
      </c>
      <c r="F28" s="138">
        <v>-19.529064046001324</v>
      </c>
      <c r="G28" s="137">
        <v>-15.788308154450286</v>
      </c>
      <c r="H28" s="137">
        <v>5.4716699286009982</v>
      </c>
      <c r="I28" s="137">
        <v>-5.2821605563966516</v>
      </c>
      <c r="J28" s="137">
        <v>95.721454401854899</v>
      </c>
      <c r="K28" s="137">
        <v>200.587467675429</v>
      </c>
      <c r="L28" s="137">
        <v>39.002975507861699</v>
      </c>
      <c r="M28" s="137">
        <v>10.1141785086316</v>
      </c>
      <c r="N28" s="137">
        <f t="shared" si="0"/>
        <v>-11.742760557327461</v>
      </c>
      <c r="O28" s="137">
        <f t="shared" si="1"/>
        <v>-14.116770010186542</v>
      </c>
      <c r="P28" s="142"/>
      <c r="Q28" s="139"/>
      <c r="R28" s="143"/>
      <c r="S28" s="143"/>
      <c r="T28" s="143"/>
      <c r="U28" s="143"/>
      <c r="V28" s="143"/>
      <c r="W28" s="143"/>
      <c r="X28" s="142"/>
      <c r="Y28" s="142"/>
      <c r="Z28" s="137"/>
      <c r="AA28" s="137"/>
    </row>
    <row r="29" spans="1:27" x14ac:dyDescent="0.25">
      <c r="A29" s="136">
        <v>41791</v>
      </c>
      <c r="B29" s="138">
        <v>-17.647058823529413</v>
      </c>
      <c r="C29" s="138">
        <v>-23.52941176470588</v>
      </c>
      <c r="D29" s="138">
        <v>0</v>
      </c>
      <c r="E29" s="138">
        <v>-22.222222222222221</v>
      </c>
      <c r="F29" s="138">
        <v>5.6362994244033144</v>
      </c>
      <c r="G29" s="138">
        <v>11.565837357775749</v>
      </c>
      <c r="H29" s="138">
        <v>27.520880005752357</v>
      </c>
      <c r="I29" s="138">
        <v>9.97215122566943</v>
      </c>
      <c r="J29" s="137">
        <v>97.914141730953006</v>
      </c>
      <c r="K29" s="137">
        <v>208.17178441379198</v>
      </c>
      <c r="L29" s="137">
        <v>40.957415347740195</v>
      </c>
      <c r="M29" s="137">
        <v>10.326507124241301</v>
      </c>
      <c r="N29" s="137">
        <f t="shared" si="0"/>
        <v>-19.183303277199308</v>
      </c>
      <c r="O29" s="137">
        <f t="shared" si="1"/>
        <v>11.723753533519831</v>
      </c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37"/>
      <c r="AA29" s="137"/>
    </row>
    <row r="30" spans="1:27" x14ac:dyDescent="0.25">
      <c r="A30" s="136">
        <v>41883</v>
      </c>
      <c r="B30" s="138">
        <v>-21.428571428571427</v>
      </c>
      <c r="C30" s="138">
        <v>-31.25</v>
      </c>
      <c r="D30" s="138">
        <v>0</v>
      </c>
      <c r="E30" s="138">
        <v>-25</v>
      </c>
      <c r="F30" s="138">
        <v>1.1053231152901835</v>
      </c>
      <c r="G30" s="138">
        <v>11.26667503824088</v>
      </c>
      <c r="H30" s="138">
        <v>26.359239520584872</v>
      </c>
      <c r="I30" s="138">
        <v>18.181276467890196</v>
      </c>
      <c r="J30" s="137">
        <v>101.12887441476801</v>
      </c>
      <c r="K30" s="137">
        <v>210.18615694575101</v>
      </c>
      <c r="L30" s="137">
        <v>42.329232826927594</v>
      </c>
      <c r="M30" s="137">
        <v>10.5914605300389</v>
      </c>
      <c r="N30" s="137">
        <f t="shared" si="0"/>
        <v>-24.70968830329431</v>
      </c>
      <c r="O30" s="137">
        <f t="shared" si="1"/>
        <v>10.400440188011876</v>
      </c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37"/>
      <c r="AA30" s="137"/>
    </row>
    <row r="31" spans="1:27" x14ac:dyDescent="0.25">
      <c r="A31" s="136">
        <v>41974</v>
      </c>
      <c r="B31" s="138">
        <v>0</v>
      </c>
      <c r="C31" s="138">
        <v>7.6923076923076925</v>
      </c>
      <c r="D31" s="138">
        <v>-11.111111111111111</v>
      </c>
      <c r="E31" s="138">
        <v>-28.571428571428569</v>
      </c>
      <c r="F31" s="138">
        <v>44.638774939660124</v>
      </c>
      <c r="G31" s="138">
        <v>31.233607797758939</v>
      </c>
      <c r="H31" s="138">
        <v>15.373049860759219</v>
      </c>
      <c r="I31" s="138">
        <v>6.0717152452987024</v>
      </c>
      <c r="J31" s="137">
        <v>104.41614629941499</v>
      </c>
      <c r="K31" s="137">
        <v>220.61668570663699</v>
      </c>
      <c r="L31" s="137">
        <v>43.781977043297502</v>
      </c>
      <c r="M31" s="137">
        <v>10.670145776197799</v>
      </c>
      <c r="N31" s="137">
        <f t="shared" si="0"/>
        <v>2.3867183600082429</v>
      </c>
      <c r="O31" s="137">
        <f t="shared" si="1"/>
        <v>32.384716011327754</v>
      </c>
      <c r="P31" s="142"/>
      <c r="Q31" s="143" t="s">
        <v>89</v>
      </c>
      <c r="R31" s="142"/>
      <c r="S31" s="142"/>
      <c r="T31" s="142"/>
      <c r="U31" s="142"/>
      <c r="V31" s="142"/>
      <c r="W31" s="142"/>
      <c r="X31" s="142"/>
      <c r="Y31" s="142"/>
      <c r="Z31" s="137"/>
      <c r="AA31" s="137"/>
    </row>
    <row r="32" spans="1:27" x14ac:dyDescent="0.25">
      <c r="A32" s="136">
        <v>42064</v>
      </c>
      <c r="B32" s="138">
        <v>-23.076923076923077</v>
      </c>
      <c r="C32" s="138">
        <v>-38.461538461538467</v>
      </c>
      <c r="D32" s="138">
        <v>-28.571428571428569</v>
      </c>
      <c r="E32" s="138">
        <v>-16.666666666666664</v>
      </c>
      <c r="F32" s="138">
        <v>5.743970345203266</v>
      </c>
      <c r="G32" s="138">
        <v>26.328290183640888</v>
      </c>
      <c r="H32" s="138">
        <v>7.0270426939648534</v>
      </c>
      <c r="I32" s="138">
        <v>-0.23815885711275642</v>
      </c>
      <c r="J32" s="137">
        <v>104.759823443225</v>
      </c>
      <c r="K32" s="137">
        <v>229.22704514298499</v>
      </c>
      <c r="L32" s="137">
        <v>44.733903285855099</v>
      </c>
      <c r="M32" s="137">
        <v>11.675587557196801</v>
      </c>
      <c r="N32" s="137">
        <f t="shared" si="0"/>
        <v>-32.548110508319816</v>
      </c>
      <c r="O32" s="137">
        <f t="shared" si="1"/>
        <v>17.798475107494848</v>
      </c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37"/>
      <c r="AA32" s="137"/>
    </row>
    <row r="33" spans="1:27" x14ac:dyDescent="0.25">
      <c r="A33" s="136">
        <v>42156</v>
      </c>
      <c r="B33" s="138">
        <v>-46.666666666666664</v>
      </c>
      <c r="C33" s="138">
        <v>-37.5</v>
      </c>
      <c r="D33" s="138">
        <v>-27.27272727272727</v>
      </c>
      <c r="E33" s="138">
        <v>-55.555555555555557</v>
      </c>
      <c r="F33" s="138">
        <v>-7.1496326128352772</v>
      </c>
      <c r="G33" s="138">
        <v>7.9001231751041994</v>
      </c>
      <c r="H33" s="138">
        <v>-5.6199355839129854</v>
      </c>
      <c r="I33" s="138">
        <v>-6.0785403584994802</v>
      </c>
      <c r="J33" s="137">
        <v>107.35463970705401</v>
      </c>
      <c r="K33" s="137">
        <v>235.46721669779501</v>
      </c>
      <c r="L33" s="137">
        <v>45.843517686157895</v>
      </c>
      <c r="M33" s="137">
        <v>11.724154210694099</v>
      </c>
      <c r="N33" s="137">
        <f t="shared" si="0"/>
        <v>-39.315522398742942</v>
      </c>
      <c r="O33" s="137">
        <f t="shared" si="1"/>
        <v>1.9075684241475079</v>
      </c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37"/>
      <c r="AA33" s="137"/>
    </row>
    <row r="34" spans="1:27" x14ac:dyDescent="0.25">
      <c r="A34" s="136">
        <v>42248</v>
      </c>
      <c r="B34" s="138">
        <v>-66.666666666666657</v>
      </c>
      <c r="C34" s="138">
        <v>-57.142857142857139</v>
      </c>
      <c r="D34" s="138">
        <v>-22.222222222222221</v>
      </c>
      <c r="E34" s="138">
        <v>-75</v>
      </c>
      <c r="F34" s="138">
        <v>11.764709492778938</v>
      </c>
      <c r="G34" s="138">
        <v>23.951941011098622</v>
      </c>
      <c r="H34" s="138">
        <v>-6.7125163338172156</v>
      </c>
      <c r="I34" s="138">
        <v>20.671855344570986</v>
      </c>
      <c r="J34" s="137">
        <v>109.16975361553999</v>
      </c>
      <c r="K34" s="137">
        <v>244.813731897075</v>
      </c>
      <c r="L34" s="137">
        <v>47.5793670609185</v>
      </c>
      <c r="M34" s="137">
        <v>11.728228554647</v>
      </c>
      <c r="N34" s="137">
        <f t="shared" si="0"/>
        <v>-56.145116969499384</v>
      </c>
      <c r="O34" s="137">
        <f t="shared" si="1"/>
        <v>17.109446078702742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</row>
    <row r="35" spans="1:27" x14ac:dyDescent="0.25">
      <c r="A35" s="136">
        <v>42339</v>
      </c>
      <c r="B35" s="138">
        <v>-46.153846153846153</v>
      </c>
      <c r="C35" s="138">
        <v>-66.666666666666657</v>
      </c>
      <c r="D35" s="138">
        <v>-20</v>
      </c>
      <c r="E35" s="138">
        <v>-62.5</v>
      </c>
      <c r="F35" s="138">
        <v>-4.6728254802521629</v>
      </c>
      <c r="G35" s="138">
        <v>43.297234181871112</v>
      </c>
      <c r="H35" s="138">
        <v>6.4953182061773251</v>
      </c>
      <c r="I35" s="138">
        <v>-12.467661785051773</v>
      </c>
      <c r="J35" s="137">
        <v>111.025645656366</v>
      </c>
      <c r="K35" s="137">
        <v>246.92165528624702</v>
      </c>
      <c r="L35" s="137">
        <v>48.986771531574995</v>
      </c>
      <c r="M35" s="137">
        <v>11.697530733228799</v>
      </c>
      <c r="N35" s="137">
        <f t="shared" si="0"/>
        <v>-55.649251459930646</v>
      </c>
      <c r="O35" s="137">
        <f t="shared" si="1"/>
        <v>24.710425587441282</v>
      </c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</row>
    <row r="36" spans="1:27" x14ac:dyDescent="0.25">
      <c r="A36" s="136">
        <v>42430</v>
      </c>
      <c r="B36" s="138">
        <v>-38.461538461538467</v>
      </c>
      <c r="C36" s="138">
        <v>-53.333333333333336</v>
      </c>
      <c r="D36" s="138">
        <v>-14.285714285714285</v>
      </c>
      <c r="E36" s="138">
        <v>-33.333333333333329</v>
      </c>
      <c r="F36" s="138">
        <v>-13.215377154477101</v>
      </c>
      <c r="G36" s="138">
        <v>-24.958106894358451</v>
      </c>
      <c r="H36" s="138">
        <v>6.1758899143441868</v>
      </c>
      <c r="I36" s="138">
        <v>-18.617978872549131</v>
      </c>
      <c r="J36" s="137">
        <v>109.884092330627</v>
      </c>
      <c r="K36" s="137">
        <v>244.733038384781</v>
      </c>
      <c r="L36" s="137">
        <v>48.753463561629999</v>
      </c>
      <c r="M36" s="137">
        <v>11.437516147001801</v>
      </c>
      <c r="N36" s="137">
        <f t="shared" si="0"/>
        <v>-44.252916192235169</v>
      </c>
      <c r="O36" s="137">
        <f t="shared" si="1"/>
        <v>-18.013342261935144</v>
      </c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</row>
    <row r="37" spans="1:27" x14ac:dyDescent="0.25">
      <c r="A37" s="136">
        <v>42522</v>
      </c>
      <c r="B37" s="138">
        <v>-53.333333333333336</v>
      </c>
      <c r="C37" s="138">
        <v>-53.333333333333336</v>
      </c>
      <c r="D37" s="138">
        <v>-28.571428571428569</v>
      </c>
      <c r="E37" s="138">
        <v>-44.444444444444443</v>
      </c>
      <c r="F37" s="138">
        <v>-17.517089608582101</v>
      </c>
      <c r="G37" s="138">
        <v>-13.225571434264669</v>
      </c>
      <c r="H37" s="138">
        <v>11.095571136413383</v>
      </c>
      <c r="I37" s="138">
        <v>-5.8239580130822066</v>
      </c>
      <c r="J37" s="137">
        <v>112.828147877348</v>
      </c>
      <c r="K37" s="137">
        <v>245.629397655828</v>
      </c>
      <c r="L37" s="137">
        <v>50.236908073470296</v>
      </c>
      <c r="M37" s="137">
        <v>11.518177557508899</v>
      </c>
      <c r="N37" s="137">
        <f t="shared" si="0"/>
        <v>-50.129371258159338</v>
      </c>
      <c r="O37" s="137">
        <f t="shared" si="1"/>
        <v>-11.267353158692478</v>
      </c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</row>
    <row r="38" spans="1:27" x14ac:dyDescent="0.25">
      <c r="A38" s="136">
        <v>42614</v>
      </c>
      <c r="B38" s="138">
        <v>-46.153846153846153</v>
      </c>
      <c r="C38" s="138">
        <v>-64.285714285714292</v>
      </c>
      <c r="D38" s="138">
        <v>0</v>
      </c>
      <c r="E38" s="138">
        <v>-14.285714285714285</v>
      </c>
      <c r="F38" s="138">
        <v>-19.748852493241561</v>
      </c>
      <c r="G38" s="138">
        <v>-30.821415075877002</v>
      </c>
      <c r="H38" s="138">
        <v>6.6585682831710669</v>
      </c>
      <c r="I38" s="138">
        <v>-0.53025147433576858</v>
      </c>
      <c r="J38" s="137">
        <v>115.63623612805</v>
      </c>
      <c r="K38" s="137">
        <v>245.57403599582801</v>
      </c>
      <c r="L38" s="137">
        <v>51.330785782288999</v>
      </c>
      <c r="M38" s="137">
        <v>11.770948255607999</v>
      </c>
      <c r="N38" s="137">
        <f t="shared" si="0"/>
        <v>-50.180328297415606</v>
      </c>
      <c r="O38" s="137">
        <f t="shared" si="1"/>
        <v>-22.42942492258971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</row>
    <row r="39" spans="1:27" x14ac:dyDescent="0.25">
      <c r="A39" s="136">
        <v>42705</v>
      </c>
      <c r="B39" s="138">
        <v>-42.857142857142854</v>
      </c>
      <c r="C39" s="138">
        <v>-33.333333333333329</v>
      </c>
      <c r="D39" s="138">
        <v>0</v>
      </c>
      <c r="E39" s="138">
        <v>-33.333333333333329</v>
      </c>
      <c r="F39" s="138">
        <v>-0.77537873105685917</v>
      </c>
      <c r="G39" s="138">
        <v>-8.1121805229023938</v>
      </c>
      <c r="H39" s="138">
        <v>-26.046725802342714</v>
      </c>
      <c r="I39" s="138">
        <v>5.2317454672391106</v>
      </c>
      <c r="J39" s="137">
        <v>119.52267038684501</v>
      </c>
      <c r="K39" s="137">
        <v>244.514384418639</v>
      </c>
      <c r="L39" s="137">
        <v>52.883482739526201</v>
      </c>
      <c r="M39" s="137">
        <v>11.8674554366943</v>
      </c>
      <c r="N39" s="137">
        <f t="shared" si="0"/>
        <v>-31.876968832311793</v>
      </c>
      <c r="O39" s="137">
        <f t="shared" si="1"/>
        <v>-7.9096763133778278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</row>
    <row r="40" spans="1:27" x14ac:dyDescent="0.25">
      <c r="A40" s="136">
        <v>42795</v>
      </c>
      <c r="B40" s="138">
        <v>-23.076923076923077</v>
      </c>
      <c r="C40" s="138">
        <v>-33.333333333333329</v>
      </c>
      <c r="D40" s="138">
        <v>-25</v>
      </c>
      <c r="E40" s="138">
        <v>-30</v>
      </c>
      <c r="F40" s="138">
        <v>-30.55368257319056</v>
      </c>
      <c r="G40" s="138">
        <v>-31.332650891390916</v>
      </c>
      <c r="H40" s="138">
        <v>-19.378504252011425</v>
      </c>
      <c r="I40" s="138">
        <v>-8.6001133454496864E-2</v>
      </c>
      <c r="J40" s="137">
        <v>118.80920546546101</v>
      </c>
      <c r="K40" s="137">
        <v>239.47130315649099</v>
      </c>
      <c r="L40" s="137">
        <v>52.736639560013103</v>
      </c>
      <c r="M40" s="137">
        <v>11.762420237296601</v>
      </c>
      <c r="N40" s="137">
        <f t="shared" si="0"/>
        <v>-29.318863041808051</v>
      </c>
      <c r="O40" s="137">
        <f t="shared" si="1"/>
        <v>-28.753277533604415</v>
      </c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</row>
    <row r="41" spans="1:27" x14ac:dyDescent="0.25">
      <c r="A41" s="136">
        <v>42887</v>
      </c>
      <c r="B41" s="138">
        <v>-69.230769230769226</v>
      </c>
      <c r="C41" s="138">
        <v>-50</v>
      </c>
      <c r="D41" s="138">
        <v>11.111111111111111</v>
      </c>
      <c r="E41" s="138">
        <v>-11.111111111111111</v>
      </c>
      <c r="F41" s="138">
        <v>-15.349906491735524</v>
      </c>
      <c r="G41" s="138">
        <v>-11.85607100308037</v>
      </c>
      <c r="H41" s="138">
        <v>5.8579130970507629</v>
      </c>
      <c r="I41" s="138">
        <v>-17.001778621726547</v>
      </c>
      <c r="J41" s="137">
        <v>120.520906764697</v>
      </c>
      <c r="K41" s="137">
        <v>242.69135367536899</v>
      </c>
      <c r="L41" s="137">
        <v>53.304219179124495</v>
      </c>
      <c r="M41" s="137">
        <v>11.897279166870701</v>
      </c>
      <c r="N41" s="137">
        <f t="shared" si="0"/>
        <v>-46.726430339104901</v>
      </c>
      <c r="O41" s="137">
        <f t="shared" si="1"/>
        <v>-10.777837775724878</v>
      </c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</row>
    <row r="42" spans="1:27" x14ac:dyDescent="0.25">
      <c r="A42" s="136">
        <v>42979</v>
      </c>
      <c r="B42" s="138">
        <v>-69.230769230769226</v>
      </c>
      <c r="C42" s="138">
        <v>-31.25</v>
      </c>
      <c r="D42" s="138">
        <v>-22.222222222222221</v>
      </c>
      <c r="E42" s="138">
        <v>-60</v>
      </c>
      <c r="F42" s="138">
        <v>-21.33178602671433</v>
      </c>
      <c r="G42" s="138">
        <v>-31.327852736227886</v>
      </c>
      <c r="H42" s="138">
        <v>5.9358986221884074</v>
      </c>
      <c r="I42" s="138">
        <v>-12.545352784190445</v>
      </c>
      <c r="J42" s="137">
        <v>122.79134827163499</v>
      </c>
      <c r="K42" s="137">
        <v>241.392912076481</v>
      </c>
      <c r="L42" s="137">
        <v>54.865411412733401</v>
      </c>
      <c r="M42" s="137">
        <v>12.160441827285801</v>
      </c>
      <c r="N42" s="137">
        <f t="shared" si="0"/>
        <v>-41.727513584408307</v>
      </c>
      <c r="O42" s="137">
        <f t="shared" si="1"/>
        <v>-23.21040617022102</v>
      </c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</row>
    <row r="43" spans="1:27" x14ac:dyDescent="0.25">
      <c r="A43" s="136">
        <v>43070</v>
      </c>
      <c r="B43" s="138">
        <v>-77.777777777777786</v>
      </c>
      <c r="C43" s="138">
        <v>-60</v>
      </c>
      <c r="D43" s="138">
        <v>-75</v>
      </c>
      <c r="E43" s="138">
        <v>-25</v>
      </c>
      <c r="F43" s="138">
        <v>-0.37968771939523643</v>
      </c>
      <c r="G43" s="138">
        <v>-17.884596410612534</v>
      </c>
      <c r="H43" s="138">
        <v>-8.5299171925858275</v>
      </c>
      <c r="I43" s="138">
        <v>-19.170789010457405</v>
      </c>
      <c r="J43" s="137">
        <v>124.85026577160201</v>
      </c>
      <c r="K43" s="137">
        <v>240.59679791282801</v>
      </c>
      <c r="L43" s="137">
        <v>56.0932477116868</v>
      </c>
      <c r="M43" s="137">
        <v>12.1762672033983</v>
      </c>
      <c r="N43" s="137">
        <f t="shared" si="0"/>
        <v>-66.07491106853287</v>
      </c>
      <c r="O43" s="137">
        <f t="shared" si="1"/>
        <v>-11.671862221441483</v>
      </c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</row>
    <row r="44" spans="1:27" x14ac:dyDescent="0.25">
      <c r="A44" s="136">
        <v>43160</v>
      </c>
      <c r="B44" s="138">
        <v>-25</v>
      </c>
      <c r="C44" s="138">
        <v>-28.571428571428569</v>
      </c>
      <c r="D44" s="138">
        <v>-14.285714285714285</v>
      </c>
      <c r="E44" s="138">
        <v>-11.111111111111111</v>
      </c>
      <c r="F44" s="138">
        <v>-6.1931229340236884</v>
      </c>
      <c r="G44" s="138">
        <v>-23.502840197456898</v>
      </c>
      <c r="H44" s="138">
        <v>5.9984570959990293</v>
      </c>
      <c r="I44" s="138">
        <v>-7.529036140176383</v>
      </c>
      <c r="J44" s="130">
        <v>124.45394707988901</v>
      </c>
      <c r="K44" s="130">
        <v>237.40897685752898</v>
      </c>
      <c r="L44" s="130">
        <v>56.045847737765001</v>
      </c>
      <c r="M44" s="130">
        <v>12.149910265354</v>
      </c>
      <c r="N44" s="137">
        <f t="shared" ref="N44" si="2">SUMPRODUCT(B44:E44,J44:M44)/SUM(J44:M44)</f>
        <v>-25.182880213603596</v>
      </c>
      <c r="O44" s="137">
        <f t="shared" si="1"/>
        <v>-14.197672539215445</v>
      </c>
    </row>
  </sheetData>
  <mergeCells count="3">
    <mergeCell ref="B2:E2"/>
    <mergeCell ref="F2:I2"/>
    <mergeCell ref="J2:M2"/>
  </mergeCells>
  <pageMargins left="0.7" right="0.7" top="0.75" bottom="0.75" header="0.3" footer="0.3"/>
  <pageSetup scale="3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96"/>
  <sheetViews>
    <sheetView showGridLines="0" view="pageBreakPreview" zoomScale="85" zoomScaleNormal="100" zoomScaleSheetLayoutView="85" workbookViewId="0">
      <pane xSplit="1" ySplit="3" topLeftCell="B4" activePane="bottomRight" state="frozen"/>
      <selection activeCell="E27" sqref="E27"/>
      <selection pane="topRight" activeCell="E27" sqref="E27"/>
      <selection pane="bottomLeft" activeCell="E27" sqref="E27"/>
      <selection pane="bottomRight" activeCell="G2" sqref="G2"/>
    </sheetView>
  </sheetViews>
  <sheetFormatPr baseColWidth="10" defaultRowHeight="16.5" x14ac:dyDescent="0.3"/>
  <cols>
    <col min="1" max="1" width="11.42578125" style="39"/>
    <col min="2" max="3" width="11.42578125" style="61"/>
    <col min="4" max="4" width="18" style="61" customWidth="1"/>
    <col min="5" max="5" width="15" style="61" customWidth="1"/>
    <col min="6" max="6" width="13.140625" style="61" customWidth="1"/>
    <col min="7" max="7" width="12.5703125" style="48" bestFit="1" customWidth="1"/>
    <col min="8" max="16384" width="11.42578125" style="48"/>
  </cols>
  <sheetData>
    <row r="1" spans="1:20" ht="17.25" thickBot="1" x14ac:dyDescent="0.35">
      <c r="A1" s="46"/>
      <c r="B1" s="47" t="s">
        <v>22</v>
      </c>
      <c r="C1" s="47"/>
      <c r="D1" s="47"/>
      <c r="E1" s="47"/>
      <c r="F1" s="47"/>
    </row>
    <row r="2" spans="1:20" ht="24.75" customHeight="1" thickBot="1" x14ac:dyDescent="0.35">
      <c r="A2" s="178" t="s">
        <v>7</v>
      </c>
      <c r="B2" s="174" t="s">
        <v>23</v>
      </c>
      <c r="C2" s="175"/>
      <c r="D2" s="175"/>
      <c r="E2" s="175"/>
      <c r="F2" s="176"/>
      <c r="G2" s="49"/>
      <c r="J2" s="50"/>
      <c r="K2" s="50"/>
      <c r="L2" s="50"/>
      <c r="M2" s="50"/>
      <c r="N2" s="50"/>
    </row>
    <row r="3" spans="1:20" ht="29.25" customHeight="1" thickBot="1" x14ac:dyDescent="0.35">
      <c r="A3" s="179"/>
      <c r="B3" s="51" t="s">
        <v>10</v>
      </c>
      <c r="C3" s="19" t="s">
        <v>11</v>
      </c>
      <c r="D3" s="29" t="s">
        <v>12</v>
      </c>
      <c r="E3" s="19" t="s">
        <v>14</v>
      </c>
      <c r="F3" s="18" t="s">
        <v>24</v>
      </c>
    </row>
    <row r="4" spans="1:20" x14ac:dyDescent="0.3">
      <c r="A4" s="43">
        <v>37257</v>
      </c>
      <c r="B4" s="52">
        <f>100*[8]Cartera_Riesgosa!B4/[8]Cartera_Bruta!B42</f>
        <v>26.756789925081417</v>
      </c>
      <c r="C4" s="52">
        <f>100*[8]Cartera_Riesgosa!C4/[8]Cartera_Bruta!C42</f>
        <v>8.9631763478519417</v>
      </c>
      <c r="D4" s="53">
        <f>100*[8]Cartera_Riesgosa!D4/[8]Cartera_Bruta!D42</f>
        <v>31.704825058452997</v>
      </c>
      <c r="E4" s="53">
        <f>100*[8]Cartera_Riesgosa!E4/[8]Cartera_Bruta!F42</f>
        <v>8.2111798074526874</v>
      </c>
      <c r="F4" s="54">
        <f>+[8]Cartera_Riesgosa!F4*100/[8]Cartera_Bruta!G42</f>
        <v>25.463566531367356</v>
      </c>
      <c r="G4" s="55"/>
      <c r="H4" s="40"/>
    </row>
    <row r="5" spans="1:20" x14ac:dyDescent="0.3">
      <c r="A5" s="43">
        <v>37288</v>
      </c>
      <c r="B5" s="52">
        <f>100*[8]Cartera_Riesgosa!B5/[8]Cartera_Bruta!B43</f>
        <v>27.169647797227789</v>
      </c>
      <c r="C5" s="52">
        <f>100*[8]Cartera_Riesgosa!C5/[8]Cartera_Bruta!C43</f>
        <v>9.6000088356995334</v>
      </c>
      <c r="D5" s="53">
        <f>100*[8]Cartera_Riesgosa!D5/[8]Cartera_Bruta!D43</f>
        <v>31.415357740214137</v>
      </c>
      <c r="E5" s="53">
        <f>100*[8]Cartera_Riesgosa!E5/[8]Cartera_Bruta!F43</f>
        <v>8.6783682519114009</v>
      </c>
      <c r="F5" s="54">
        <f>+[8]Cartera_Riesgosa!F5*100/[8]Cartera_Bruta!G43</f>
        <v>25.703165082690937</v>
      </c>
      <c r="G5" s="55"/>
      <c r="H5" s="125" t="s">
        <v>91</v>
      </c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</row>
    <row r="6" spans="1:20" x14ac:dyDescent="0.3">
      <c r="A6" s="43">
        <v>37316</v>
      </c>
      <c r="B6" s="52">
        <f>100*[8]Cartera_Riesgosa!B6/[8]Cartera_Bruta!B44</f>
        <v>27.743881136699478</v>
      </c>
      <c r="C6" s="52">
        <f>100*[8]Cartera_Riesgosa!C6/[8]Cartera_Bruta!C44</f>
        <v>10.74360778017668</v>
      </c>
      <c r="D6" s="53">
        <f>100*[8]Cartera_Riesgosa!D6/[8]Cartera_Bruta!D44</f>
        <v>31.261079318581533</v>
      </c>
      <c r="E6" s="53">
        <f>100*[8]Cartera_Riesgosa!E6/[8]Cartera_Bruta!F44</f>
        <v>8.5719824304176431</v>
      </c>
      <c r="F6" s="54">
        <f>+[8]Cartera_Riesgosa!F6*100/[8]Cartera_Bruta!G44</f>
        <v>26.207534490735121</v>
      </c>
      <c r="G6" s="55"/>
      <c r="H6" s="147" t="s">
        <v>90</v>
      </c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</row>
    <row r="7" spans="1:20" x14ac:dyDescent="0.3">
      <c r="A7" s="43">
        <v>37347</v>
      </c>
      <c r="B7" s="52">
        <f>100*[8]Cartera_Riesgosa!B7/[8]Cartera_Bruta!B45</f>
        <v>27.343894228659256</v>
      </c>
      <c r="C7" s="52">
        <f>100*[8]Cartera_Riesgosa!C7/[8]Cartera_Bruta!C45</f>
        <v>10.269048695840917</v>
      </c>
      <c r="D7" s="53">
        <f>100*[8]Cartera_Riesgosa!D7/[8]Cartera_Bruta!D45</f>
        <v>31.664753611315792</v>
      </c>
      <c r="E7" s="53">
        <f>100*[8]Cartera_Riesgosa!E7/[8]Cartera_Bruta!F45</f>
        <v>8.1863249512412821</v>
      </c>
      <c r="F7" s="54">
        <f>+[8]Cartera_Riesgosa!F7*100/[8]Cartera_Bruta!G45</f>
        <v>25.967020893470647</v>
      </c>
      <c r="G7" s="5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</row>
    <row r="8" spans="1:20" x14ac:dyDescent="0.3">
      <c r="A8" s="43">
        <v>37377</v>
      </c>
      <c r="B8" s="52">
        <f>100*[8]Cartera_Riesgosa!B8/[8]Cartera_Bruta!B46</f>
        <v>26.433027455136003</v>
      </c>
      <c r="C8" s="52">
        <f>100*[8]Cartera_Riesgosa!C8/[8]Cartera_Bruta!C46</f>
        <v>9.7516645881180803</v>
      </c>
      <c r="D8" s="53">
        <f>100*[8]Cartera_Riesgosa!D8/[8]Cartera_Bruta!D46</f>
        <v>32.354628889038302</v>
      </c>
      <c r="E8" s="53">
        <f>100*[8]Cartera_Riesgosa!E8/[8]Cartera_Bruta!F46</f>
        <v>8.2309069641436992</v>
      </c>
      <c r="F8" s="54">
        <f>+[8]Cartera_Riesgosa!F8*100/[8]Cartera_Bruta!G46</f>
        <v>25.41300805753605</v>
      </c>
      <c r="G8" s="5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</row>
    <row r="9" spans="1:20" x14ac:dyDescent="0.3">
      <c r="A9" s="43">
        <v>37408</v>
      </c>
      <c r="B9" s="52">
        <f>100*[8]Cartera_Riesgosa!B9/[8]Cartera_Bruta!B47</f>
        <v>25.003216797153272</v>
      </c>
      <c r="C9" s="52">
        <f>100*[8]Cartera_Riesgosa!C9/[8]Cartera_Bruta!C47</f>
        <v>9.4196636007863717</v>
      </c>
      <c r="D9" s="53">
        <f>100*[8]Cartera_Riesgosa!D9/[8]Cartera_Bruta!D47</f>
        <v>32.377135821545338</v>
      </c>
      <c r="E9" s="53">
        <f>100*[8]Cartera_Riesgosa!E9/[8]Cartera_Bruta!F47</f>
        <v>8.3771534503772749</v>
      </c>
      <c r="F9" s="54">
        <f>+[8]Cartera_Riesgosa!F9*100/[8]Cartera_Bruta!G47</f>
        <v>24.51364853729627</v>
      </c>
      <c r="G9" s="5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</row>
    <row r="10" spans="1:20" x14ac:dyDescent="0.3">
      <c r="A10" s="43">
        <v>37438</v>
      </c>
      <c r="B10" s="52">
        <f>100*[8]Cartera_Riesgosa!B10/[8]Cartera_Bruta!B48</f>
        <v>24.476498529632327</v>
      </c>
      <c r="C10" s="52">
        <f>100*[8]Cartera_Riesgosa!C10/[8]Cartera_Bruta!C48</f>
        <v>9.2513568767435128</v>
      </c>
      <c r="D10" s="53">
        <f>100*[8]Cartera_Riesgosa!D10/[8]Cartera_Bruta!D48</f>
        <v>32.270095692613019</v>
      </c>
      <c r="E10" s="53">
        <f>100*[8]Cartera_Riesgosa!E10/[8]Cartera_Bruta!F48</f>
        <v>8.8402447555960268</v>
      </c>
      <c r="F10" s="54">
        <f>+[8]Cartera_Riesgosa!F10*100/[8]Cartera_Bruta!G48</f>
        <v>24.081181326934104</v>
      </c>
      <c r="G10" s="5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</row>
    <row r="11" spans="1:20" x14ac:dyDescent="0.3">
      <c r="A11" s="43">
        <v>37469</v>
      </c>
      <c r="B11" s="52">
        <f>100*[8]Cartera_Riesgosa!B11/[8]Cartera_Bruta!B49</f>
        <v>24.227970429840468</v>
      </c>
      <c r="C11" s="52">
        <f>100*[8]Cartera_Riesgosa!C11/[8]Cartera_Bruta!C49</f>
        <v>8.9648974033494824</v>
      </c>
      <c r="D11" s="53">
        <f>100*[8]Cartera_Riesgosa!D11/[8]Cartera_Bruta!D49</f>
        <v>32.078827615766386</v>
      </c>
      <c r="E11" s="53">
        <f>100*[8]Cartera_Riesgosa!E11/[8]Cartera_Bruta!F49</f>
        <v>10.528624342291366</v>
      </c>
      <c r="F11" s="54">
        <f>+[8]Cartera_Riesgosa!F11*100/[8]Cartera_Bruta!G49</f>
        <v>23.72464570947561</v>
      </c>
      <c r="G11" s="5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</row>
    <row r="12" spans="1:20" x14ac:dyDescent="0.3">
      <c r="A12" s="43">
        <v>37500</v>
      </c>
      <c r="B12" s="52">
        <f>100*[8]Cartera_Riesgosa!B12/[8]Cartera_Bruta!B50</f>
        <v>22.072738043757862</v>
      </c>
      <c r="C12" s="52">
        <f>100*[8]Cartera_Riesgosa!C12/[8]Cartera_Bruta!C50</f>
        <v>8.8453910840828431</v>
      </c>
      <c r="D12" s="53">
        <f>100*[8]Cartera_Riesgosa!D12/[8]Cartera_Bruta!D50</f>
        <v>31.488644103988825</v>
      </c>
      <c r="E12" s="53">
        <f>100*[8]Cartera_Riesgosa!E12/[8]Cartera_Bruta!F50</f>
        <v>10.400590549131374</v>
      </c>
      <c r="F12" s="54">
        <f>+[8]Cartera_Riesgosa!F12*100/[8]Cartera_Bruta!G50</f>
        <v>22.221537170678005</v>
      </c>
      <c r="G12" s="5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</row>
    <row r="13" spans="1:20" x14ac:dyDescent="0.3">
      <c r="A13" s="43">
        <v>37530</v>
      </c>
      <c r="B13" s="52">
        <f>100*[8]Cartera_Riesgosa!B13/[8]Cartera_Bruta!B51</f>
        <v>22.289476393678637</v>
      </c>
      <c r="C13" s="52">
        <f>100*[8]Cartera_Riesgosa!C13/[8]Cartera_Bruta!C51</f>
        <v>8.7203888563172853</v>
      </c>
      <c r="D13" s="53">
        <f>100*[8]Cartera_Riesgosa!D13/[8]Cartera_Bruta!D51</f>
        <v>31.281786730434469</v>
      </c>
      <c r="E13" s="53">
        <f>100*[8]Cartera_Riesgosa!E13/[8]Cartera_Bruta!F51</f>
        <v>10.499943689991083</v>
      </c>
      <c r="F13" s="54">
        <f>+[8]Cartera_Riesgosa!F13*100/[8]Cartera_Bruta!G51</f>
        <v>22.223424839699316</v>
      </c>
      <c r="G13" s="5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</row>
    <row r="14" spans="1:20" x14ac:dyDescent="0.3">
      <c r="A14" s="43">
        <v>37561</v>
      </c>
      <c r="B14" s="52">
        <f>100*[8]Cartera_Riesgosa!B14/[8]Cartera_Bruta!B52</f>
        <v>21.535515267950235</v>
      </c>
      <c r="C14" s="52">
        <f>100*[8]Cartera_Riesgosa!C14/[8]Cartera_Bruta!C52</f>
        <v>8.8697115082202291</v>
      </c>
      <c r="D14" s="53">
        <f>100*[8]Cartera_Riesgosa!D14/[8]Cartera_Bruta!D52</f>
        <v>32.921333889109441</v>
      </c>
      <c r="E14" s="53">
        <f>100*[8]Cartera_Riesgosa!E14/[8]Cartera_Bruta!F52</f>
        <v>10.325578882824937</v>
      </c>
      <c r="F14" s="54">
        <f>+[8]Cartera_Riesgosa!F14*100/[8]Cartera_Bruta!G52</f>
        <v>21.997103379189774</v>
      </c>
      <c r="G14" s="5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</row>
    <row r="15" spans="1:20" x14ac:dyDescent="0.3">
      <c r="A15" s="43">
        <v>37591</v>
      </c>
      <c r="B15" s="52">
        <f>100*[8]Cartera_Riesgosa!B15/[8]Cartera_Bruta!B53</f>
        <v>21.077917870934442</v>
      </c>
      <c r="C15" s="52">
        <f>100*[8]Cartera_Riesgosa!C15/[8]Cartera_Bruta!C53</f>
        <v>8.1086933529560454</v>
      </c>
      <c r="D15" s="53">
        <f>100*[8]Cartera_Riesgosa!D15/[8]Cartera_Bruta!D53</f>
        <v>31.753758541135234</v>
      </c>
      <c r="E15" s="53">
        <f>100*[8]Cartera_Riesgosa!E15/[8]Cartera_Bruta!F53</f>
        <v>8.874783672074555</v>
      </c>
      <c r="F15" s="54">
        <f>+[8]Cartera_Riesgosa!F15*100/[8]Cartera_Bruta!G53</f>
        <v>21.304589030173915</v>
      </c>
      <c r="G15" s="5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</row>
    <row r="16" spans="1:20" x14ac:dyDescent="0.3">
      <c r="A16" s="43">
        <v>37622</v>
      </c>
      <c r="B16" s="52">
        <f>100*[8]Cartera_Riesgosa!B16/[8]Cartera_Bruta!B54</f>
        <v>21.097010706078986</v>
      </c>
      <c r="C16" s="52">
        <f>100*[8]Cartera_Riesgosa!C16/[8]Cartera_Bruta!C54</f>
        <v>8.1644455801338456</v>
      </c>
      <c r="D16" s="53">
        <f>100*[8]Cartera_Riesgosa!D16/[8]Cartera_Bruta!D54</f>
        <v>31.976306193978175</v>
      </c>
      <c r="E16" s="53">
        <f>100*[8]Cartera_Riesgosa!E16/[8]Cartera_Bruta!F54</f>
        <v>8.8279857002699735</v>
      </c>
      <c r="F16" s="54">
        <f>+[8]Cartera_Riesgosa!F16*100/[8]Cartera_Bruta!G54</f>
        <v>21.322954623658251</v>
      </c>
      <c r="G16" s="5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</row>
    <row r="17" spans="1:20" x14ac:dyDescent="0.3">
      <c r="A17" s="43">
        <v>37653</v>
      </c>
      <c r="B17" s="52">
        <f>100*[8]Cartera_Riesgosa!B17/[8]Cartera_Bruta!B55</f>
        <v>20.110091499650697</v>
      </c>
      <c r="C17" s="52">
        <f>100*[8]Cartera_Riesgosa!C17/[8]Cartera_Bruta!C55</f>
        <v>8.6902162828559675</v>
      </c>
      <c r="D17" s="53">
        <f>100*[8]Cartera_Riesgosa!D17/[8]Cartera_Bruta!D55</f>
        <v>31.358748703233271</v>
      </c>
      <c r="E17" s="53">
        <f>100*[8]Cartera_Riesgosa!E17/[8]Cartera_Bruta!F55</f>
        <v>8.865842906848572</v>
      </c>
      <c r="F17" s="54">
        <f>+[8]Cartera_Riesgosa!F17*100/[8]Cartera_Bruta!G55</f>
        <v>20.643882334991886</v>
      </c>
      <c r="G17" s="5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</row>
    <row r="18" spans="1:20" x14ac:dyDescent="0.3">
      <c r="A18" s="43">
        <v>37681</v>
      </c>
      <c r="B18" s="52">
        <f>100*[8]Cartera_Riesgosa!B18/[8]Cartera_Bruta!B56</f>
        <v>19.68939568024701</v>
      </c>
      <c r="C18" s="52">
        <f>100*[8]Cartera_Riesgosa!C18/[8]Cartera_Bruta!C56</f>
        <v>8.993310994986766</v>
      </c>
      <c r="D18" s="53">
        <f>100*[8]Cartera_Riesgosa!D18/[8]Cartera_Bruta!D56</f>
        <v>31.522335380887174</v>
      </c>
      <c r="E18" s="53">
        <f>100*[8]Cartera_Riesgosa!E18/[8]Cartera_Bruta!F56</f>
        <v>8.342442905376517</v>
      </c>
      <c r="F18" s="54">
        <f>+[8]Cartera_Riesgosa!F18*100/[8]Cartera_Bruta!G56</f>
        <v>20.464957830751167</v>
      </c>
      <c r="G18" s="5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</row>
    <row r="19" spans="1:20" x14ac:dyDescent="0.3">
      <c r="A19" s="43">
        <v>37712</v>
      </c>
      <c r="B19" s="52">
        <f>100*[8]Cartera_Riesgosa!B19/[8]Cartera_Bruta!B57</f>
        <v>18.680836354953065</v>
      </c>
      <c r="C19" s="52">
        <f>100*[8]Cartera_Riesgosa!C19/[8]Cartera_Bruta!C57</f>
        <v>8.7440542611706995</v>
      </c>
      <c r="D19" s="53">
        <f>100*[8]Cartera_Riesgosa!D19/[8]Cartera_Bruta!D57</f>
        <v>31.603072323838713</v>
      </c>
      <c r="E19" s="53">
        <f>100*[8]Cartera_Riesgosa!E19/[8]Cartera_Bruta!F57</f>
        <v>8.2808409671714429</v>
      </c>
      <c r="F19" s="54">
        <f>+[8]Cartera_Riesgosa!F19*100/[8]Cartera_Bruta!G57</f>
        <v>19.781265866676577</v>
      </c>
      <c r="G19" s="5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</row>
    <row r="20" spans="1:20" x14ac:dyDescent="0.3">
      <c r="A20" s="43">
        <v>37742</v>
      </c>
      <c r="B20" s="52">
        <f>100*[8]Cartera_Riesgosa!B20/[8]Cartera_Bruta!B58</f>
        <v>18.224516050983731</v>
      </c>
      <c r="C20" s="52">
        <f>100*[8]Cartera_Riesgosa!C20/[8]Cartera_Bruta!C58</f>
        <v>8.52302901483319</v>
      </c>
      <c r="D20" s="53">
        <f>100*[8]Cartera_Riesgosa!D20/[8]Cartera_Bruta!D58</f>
        <v>31.531198631396187</v>
      </c>
      <c r="E20" s="53">
        <f>100*[8]Cartera_Riesgosa!E20/[8]Cartera_Bruta!F58</f>
        <v>7.8985874576364656</v>
      </c>
      <c r="F20" s="54">
        <f>+[8]Cartera_Riesgosa!F20*100/[8]Cartera_Bruta!G58</f>
        <v>19.406894178305812</v>
      </c>
      <c r="G20" s="5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</row>
    <row r="21" spans="1:20" x14ac:dyDescent="0.3">
      <c r="A21" s="43">
        <v>37773</v>
      </c>
      <c r="B21" s="52">
        <f>100*[8]Cartera_Riesgosa!B21/[8]Cartera_Bruta!B59</f>
        <v>17.667094820752482</v>
      </c>
      <c r="C21" s="52">
        <f>100*[8]Cartera_Riesgosa!C21/[8]Cartera_Bruta!C59</f>
        <v>8.5562540795540709</v>
      </c>
      <c r="D21" s="53">
        <f>100*[8]Cartera_Riesgosa!D21/[8]Cartera_Bruta!D59</f>
        <v>32.635109030734988</v>
      </c>
      <c r="E21" s="53">
        <f>100*[8]Cartera_Riesgosa!E21/[8]Cartera_Bruta!F59</f>
        <v>7.8088967788086885</v>
      </c>
      <c r="F21" s="54">
        <f>+[8]Cartera_Riesgosa!F21*100/[8]Cartera_Bruta!G59</f>
        <v>19.151310782121836</v>
      </c>
      <c r="G21" s="5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</row>
    <row r="22" spans="1:20" x14ac:dyDescent="0.3">
      <c r="A22" s="43">
        <v>37803</v>
      </c>
      <c r="B22" s="52">
        <f>100*[8]Cartera_Riesgosa!B22/[8]Cartera_Bruta!B60</f>
        <v>16.735069089768615</v>
      </c>
      <c r="C22" s="52">
        <f>100*[8]Cartera_Riesgosa!C22/[8]Cartera_Bruta!C60</f>
        <v>7.7045945928933435</v>
      </c>
      <c r="D22" s="53">
        <f>100*[8]Cartera_Riesgosa!D22/[8]Cartera_Bruta!D60</f>
        <v>32.28534320363201</v>
      </c>
      <c r="E22" s="53">
        <f>100*[8]Cartera_Riesgosa!E22/[8]Cartera_Bruta!F60</f>
        <v>7.1942212505222889</v>
      </c>
      <c r="F22" s="54">
        <f>+[8]Cartera_Riesgosa!F22*100/[8]Cartera_Bruta!G60</f>
        <v>18.286638003032728</v>
      </c>
      <c r="G22" s="5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44"/>
      <c r="T22" s="125"/>
    </row>
    <row r="23" spans="1:20" x14ac:dyDescent="0.3">
      <c r="A23" s="43">
        <v>37834</v>
      </c>
      <c r="B23" s="52">
        <f>100*[8]Cartera_Riesgosa!B23/[8]Cartera_Bruta!B61</f>
        <v>16.725268446712143</v>
      </c>
      <c r="C23" s="52">
        <f>100*[8]Cartera_Riesgosa!C23/[8]Cartera_Bruta!C61</f>
        <v>8.057183031070041</v>
      </c>
      <c r="D23" s="53">
        <f>100*[8]Cartera_Riesgosa!D23/[8]Cartera_Bruta!D61</f>
        <v>32.493989066821662</v>
      </c>
      <c r="E23" s="53">
        <f>100*[8]Cartera_Riesgosa!E23/[8]Cartera_Bruta!F61</f>
        <v>7.1183477698288922</v>
      </c>
      <c r="F23" s="54">
        <f>+[8]Cartera_Riesgosa!F23*100/[8]Cartera_Bruta!G61</f>
        <v>18.33338771004631</v>
      </c>
      <c r="G23" s="5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44"/>
      <c r="T23" s="125"/>
    </row>
    <row r="24" spans="1:20" x14ac:dyDescent="0.3">
      <c r="A24" s="43">
        <v>37865</v>
      </c>
      <c r="B24" s="52">
        <f>100*[8]Cartera_Riesgosa!B24/[8]Cartera_Bruta!B62</f>
        <v>16.106662214904429</v>
      </c>
      <c r="C24" s="52">
        <f>100*[8]Cartera_Riesgosa!C24/[8]Cartera_Bruta!C62</f>
        <v>7.8958963309885011</v>
      </c>
      <c r="D24" s="53">
        <f>100*[8]Cartera_Riesgosa!D24/[8]Cartera_Bruta!D62</f>
        <v>32.275161662732977</v>
      </c>
      <c r="E24" s="53">
        <f>100*[8]Cartera_Riesgosa!E24/[8]Cartera_Bruta!F62</f>
        <v>6.4631464078096537</v>
      </c>
      <c r="F24" s="54">
        <f>+[8]Cartera_Riesgosa!F24*100/[8]Cartera_Bruta!G62</f>
        <v>17.812632936097028</v>
      </c>
      <c r="G24" s="5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44"/>
      <c r="T24" s="125"/>
    </row>
    <row r="25" spans="1:20" x14ac:dyDescent="0.3">
      <c r="A25" s="43">
        <v>37895</v>
      </c>
      <c r="B25" s="52">
        <f>100*[8]Cartera_Riesgosa!B25/[8]Cartera_Bruta!B63</f>
        <v>15.536264475943204</v>
      </c>
      <c r="C25" s="52">
        <f>100*[8]Cartera_Riesgosa!C25/[8]Cartera_Bruta!C63</f>
        <v>7.7386840711644211</v>
      </c>
      <c r="D25" s="53">
        <f>100*[8]Cartera_Riesgosa!D25/[8]Cartera_Bruta!D63</f>
        <v>31.902068129275101</v>
      </c>
      <c r="E25" s="53">
        <f>100*[8]Cartera_Riesgosa!E25/[8]Cartera_Bruta!F63</f>
        <v>6.465411435201875</v>
      </c>
      <c r="F25" s="54">
        <f>+[8]Cartera_Riesgosa!F25*100/[8]Cartera_Bruta!G63</f>
        <v>17.294284765879635</v>
      </c>
      <c r="G25" s="5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45"/>
      <c r="S25" s="144"/>
      <c r="T25" s="125"/>
    </row>
    <row r="26" spans="1:20" x14ac:dyDescent="0.3">
      <c r="A26" s="43">
        <v>37926</v>
      </c>
      <c r="B26" s="52">
        <f>100*[8]Cartera_Riesgosa!B26/[8]Cartera_Bruta!B64</f>
        <v>15.47272016765754</v>
      </c>
      <c r="C26" s="52">
        <f>100*[8]Cartera_Riesgosa!C26/[8]Cartera_Bruta!C64</f>
        <v>8.232721697911062</v>
      </c>
      <c r="D26" s="53">
        <f>100*[8]Cartera_Riesgosa!D26/[8]Cartera_Bruta!D64</f>
        <v>32.893549163757079</v>
      </c>
      <c r="E26" s="53">
        <f>100*[8]Cartera_Riesgosa!E26/[8]Cartera_Bruta!F64</f>
        <v>6.6420991994260303</v>
      </c>
      <c r="F26" s="54">
        <f>+[8]Cartera_Riesgosa!F26*100/[8]Cartera_Bruta!G64</f>
        <v>17.380471618305851</v>
      </c>
      <c r="G26" s="5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44" t="s">
        <v>79</v>
      </c>
      <c r="S26" s="144"/>
      <c r="T26" s="125"/>
    </row>
    <row r="27" spans="1:20" x14ac:dyDescent="0.3">
      <c r="A27" s="43">
        <v>37956</v>
      </c>
      <c r="B27" s="52">
        <f>100*[8]Cartera_Riesgosa!B27/[8]Cartera_Bruta!B65</f>
        <v>15.059740537851408</v>
      </c>
      <c r="C27" s="52">
        <f>100*[8]Cartera_Riesgosa!C27/[8]Cartera_Bruta!C65</f>
        <v>7.1286159109155953</v>
      </c>
      <c r="D27" s="53">
        <f>100*[8]Cartera_Riesgosa!D27/[8]Cartera_Bruta!D65</f>
        <v>31.029039956322148</v>
      </c>
      <c r="E27" s="53">
        <f>100*[8]Cartera_Riesgosa!E27/[8]Cartera_Bruta!F65</f>
        <v>6.3780222046206028</v>
      </c>
      <c r="F27" s="54">
        <f>+[8]Cartera_Riesgosa!F27*100/[8]Cartera_Bruta!G65</f>
        <v>16.47457222380698</v>
      </c>
      <c r="G27" s="55"/>
      <c r="H27" s="146" t="s">
        <v>0</v>
      </c>
      <c r="I27" s="125"/>
      <c r="J27" s="125"/>
      <c r="K27" s="125"/>
      <c r="L27" s="125"/>
      <c r="M27" s="125"/>
      <c r="N27" s="125"/>
      <c r="O27" s="125"/>
      <c r="P27" s="125"/>
      <c r="Q27" s="125"/>
      <c r="R27" s="144"/>
      <c r="S27" s="125"/>
      <c r="T27" s="125"/>
    </row>
    <row r="28" spans="1:20" x14ac:dyDescent="0.3">
      <c r="A28" s="43">
        <v>37987</v>
      </c>
      <c r="B28" s="52">
        <f>100*[8]Cartera_Riesgosa!B28/[8]Cartera_Bruta!B66</f>
        <v>14.407001119155691</v>
      </c>
      <c r="C28" s="52">
        <f>100*[8]Cartera_Riesgosa!C28/[8]Cartera_Bruta!C66</f>
        <v>7.3524352786634575</v>
      </c>
      <c r="D28" s="53">
        <f>100*[8]Cartera_Riesgosa!D28/[8]Cartera_Bruta!D66</f>
        <v>31.097295794423541</v>
      </c>
      <c r="E28" s="53">
        <f>100*[8]Cartera_Riesgosa!E28/[8]Cartera_Bruta!F66</f>
        <v>6.5937211425421465</v>
      </c>
      <c r="F28" s="54">
        <f>+[8]Cartera_Riesgosa!F28*100/[8]Cartera_Bruta!G66</f>
        <v>16.00416435106953</v>
      </c>
      <c r="G28" s="55"/>
      <c r="R28" s="50"/>
    </row>
    <row r="29" spans="1:20" x14ac:dyDescent="0.3">
      <c r="A29" s="43">
        <v>38018</v>
      </c>
      <c r="B29" s="52">
        <f>100*[8]Cartera_Riesgosa!B29/[8]Cartera_Bruta!B67</f>
        <v>14.002923384319683</v>
      </c>
      <c r="C29" s="52">
        <f>100*[8]Cartera_Riesgosa!C29/[8]Cartera_Bruta!C67</f>
        <v>7.6949713782089324</v>
      </c>
      <c r="D29" s="53">
        <f>100*[8]Cartera_Riesgosa!D29/[8]Cartera_Bruta!D67</f>
        <v>30.589664504671404</v>
      </c>
      <c r="E29" s="53">
        <f>100*[8]Cartera_Riesgosa!E29/[8]Cartera_Bruta!F67</f>
        <v>6.6024110377028835</v>
      </c>
      <c r="F29" s="54">
        <f>+[8]Cartera_Riesgosa!F29*100/[8]Cartera_Bruta!G67</f>
        <v>15.684895396437915</v>
      </c>
      <c r="G29" s="55"/>
      <c r="R29" s="50"/>
    </row>
    <row r="30" spans="1:20" x14ac:dyDescent="0.3">
      <c r="A30" s="43">
        <v>38047</v>
      </c>
      <c r="B30" s="52">
        <f>100*[8]Cartera_Riesgosa!B30/[8]Cartera_Bruta!B68</f>
        <v>13.777248240367712</v>
      </c>
      <c r="C30" s="52">
        <f>100*[8]Cartera_Riesgosa!C30/[8]Cartera_Bruta!C68</f>
        <v>7.5830617482238454</v>
      </c>
      <c r="D30" s="53">
        <f>100*[8]Cartera_Riesgosa!D30/[8]Cartera_Bruta!D68</f>
        <v>30.371058720423012</v>
      </c>
      <c r="E30" s="53">
        <f>100*[8]Cartera_Riesgosa!E30/[8]Cartera_Bruta!F68</f>
        <v>7.0194682866158313</v>
      </c>
      <c r="F30" s="54">
        <f>+[8]Cartera_Riesgosa!F30*100/[8]Cartera_Bruta!G68</f>
        <v>15.476142672240272</v>
      </c>
      <c r="G30" s="55"/>
      <c r="R30" s="50"/>
    </row>
    <row r="31" spans="1:20" x14ac:dyDescent="0.3">
      <c r="A31" s="43">
        <v>38078</v>
      </c>
      <c r="B31" s="52">
        <f>100*[8]Cartera_Riesgosa!B31/[8]Cartera_Bruta!B69</f>
        <v>13.598428848836349</v>
      </c>
      <c r="C31" s="52">
        <f>100*[8]Cartera_Riesgosa!C31/[8]Cartera_Bruta!C69</f>
        <v>7.6767673902330387</v>
      </c>
      <c r="D31" s="53">
        <f>100*[8]Cartera_Riesgosa!D31/[8]Cartera_Bruta!D69</f>
        <v>30.169200603484132</v>
      </c>
      <c r="E31" s="53">
        <f>100*[8]Cartera_Riesgosa!E31/[8]Cartera_Bruta!F69</f>
        <v>7.6022020273769115</v>
      </c>
      <c r="F31" s="54">
        <f>+[8]Cartera_Riesgosa!F31*100/[8]Cartera_Bruta!G69</f>
        <v>15.306499531334222</v>
      </c>
      <c r="G31" s="55"/>
    </row>
    <row r="32" spans="1:20" x14ac:dyDescent="0.3">
      <c r="A32" s="43">
        <v>38108</v>
      </c>
      <c r="B32" s="52">
        <f>100*[8]Cartera_Riesgosa!B32/[8]Cartera_Bruta!B70</f>
        <v>13.729237742341768</v>
      </c>
      <c r="C32" s="52">
        <f>100*[8]Cartera_Riesgosa!C32/[8]Cartera_Bruta!C70</f>
        <v>7.7552696554719756</v>
      </c>
      <c r="D32" s="53">
        <f>100*[8]Cartera_Riesgosa!D32/[8]Cartera_Bruta!D70</f>
        <v>29.260770017423834</v>
      </c>
      <c r="E32" s="53">
        <f>100*[8]Cartera_Riesgosa!E32/[8]Cartera_Bruta!F70</f>
        <v>7.9947679387011892</v>
      </c>
      <c r="F32" s="54">
        <f>+[8]Cartera_Riesgosa!F32*100/[8]Cartera_Bruta!G70</f>
        <v>15.165987838599264</v>
      </c>
      <c r="G32" s="55"/>
    </row>
    <row r="33" spans="1:7" x14ac:dyDescent="0.3">
      <c r="A33" s="43">
        <v>38139</v>
      </c>
      <c r="B33" s="52">
        <f>100*[8]Cartera_Riesgosa!B33/[8]Cartera_Bruta!B71</f>
        <v>12.892631582196719</v>
      </c>
      <c r="C33" s="52">
        <f>100*[8]Cartera_Riesgosa!C33/[8]Cartera_Bruta!C71</f>
        <v>7.4539894022363589</v>
      </c>
      <c r="D33" s="53">
        <f>100*[8]Cartera_Riesgosa!D33/[8]Cartera_Bruta!D71</f>
        <v>25.852621662367714</v>
      </c>
      <c r="E33" s="53">
        <f>100*[8]Cartera_Riesgosa!E33/[8]Cartera_Bruta!F71</f>
        <v>8.1264347321583497</v>
      </c>
      <c r="F33" s="54">
        <f>+[8]Cartera_Riesgosa!F33*100/[8]Cartera_Bruta!G71</f>
        <v>13.876864740729612</v>
      </c>
      <c r="G33" s="55"/>
    </row>
    <row r="34" spans="1:7" x14ac:dyDescent="0.3">
      <c r="A34" s="43">
        <v>38169</v>
      </c>
      <c r="B34" s="52">
        <f>100*[8]Cartera_Riesgosa!B34/[8]Cartera_Bruta!B72</f>
        <v>12.394240235562599</v>
      </c>
      <c r="C34" s="52">
        <f>100*[8]Cartera_Riesgosa!C34/[8]Cartera_Bruta!C72</f>
        <v>7.3529414179029287</v>
      </c>
      <c r="D34" s="53">
        <f>100*[8]Cartera_Riesgosa!D34/[8]Cartera_Bruta!D72</f>
        <v>25.398931790454679</v>
      </c>
      <c r="E34" s="53">
        <f>100*[8]Cartera_Riesgosa!E34/[8]Cartera_Bruta!F72</f>
        <v>7.5104553152366593</v>
      </c>
      <c r="F34" s="54">
        <f>+[8]Cartera_Riesgosa!F34*100/[8]Cartera_Bruta!G72</f>
        <v>13.415685254139772</v>
      </c>
      <c r="G34" s="55"/>
    </row>
    <row r="35" spans="1:7" x14ac:dyDescent="0.3">
      <c r="A35" s="43">
        <v>38200</v>
      </c>
      <c r="B35" s="52">
        <f>100*[8]Cartera_Riesgosa!B35/[8]Cartera_Bruta!B73</f>
        <v>11.902453742578864</v>
      </c>
      <c r="C35" s="52">
        <f>100*[8]Cartera_Riesgosa!C35/[8]Cartera_Bruta!C73</f>
        <v>7.0583346292981757</v>
      </c>
      <c r="D35" s="53">
        <f>100*[8]Cartera_Riesgosa!D35/[8]Cartera_Bruta!D73</f>
        <v>23.415282470603817</v>
      </c>
      <c r="E35" s="53">
        <f>100*[8]Cartera_Riesgosa!E35/[8]Cartera_Bruta!F73</f>
        <v>6.9629220031759465</v>
      </c>
      <c r="F35" s="54">
        <f>+[8]Cartera_Riesgosa!F35*100/[8]Cartera_Bruta!G73</f>
        <v>12.655690508124222</v>
      </c>
      <c r="G35" s="55"/>
    </row>
    <row r="36" spans="1:7" x14ac:dyDescent="0.3">
      <c r="A36" s="43">
        <v>38231</v>
      </c>
      <c r="B36" s="52">
        <f>100*[8]Cartera_Riesgosa!B36/[8]Cartera_Bruta!B74</f>
        <v>11.433346195709767</v>
      </c>
      <c r="C36" s="52">
        <f>100*[8]Cartera_Riesgosa!C36/[8]Cartera_Bruta!C74</f>
        <v>6.7354108801842347</v>
      </c>
      <c r="D36" s="53">
        <f>100*[8]Cartera_Riesgosa!D36/[8]Cartera_Bruta!D74</f>
        <v>21.070713889459782</v>
      </c>
      <c r="E36" s="53">
        <f>100*[8]Cartera_Riesgosa!E36/[8]Cartera_Bruta!F74</f>
        <v>6.7741383739684107</v>
      </c>
      <c r="F36" s="54">
        <f>+[8]Cartera_Riesgosa!F36*100/[8]Cartera_Bruta!G74</f>
        <v>11.860660187747934</v>
      </c>
      <c r="G36" s="55"/>
    </row>
    <row r="37" spans="1:7" x14ac:dyDescent="0.3">
      <c r="A37" s="43">
        <v>38261</v>
      </c>
      <c r="B37" s="52">
        <f>100*[8]Cartera_Riesgosa!B37/[8]Cartera_Bruta!B75</f>
        <v>10.973951540933589</v>
      </c>
      <c r="C37" s="52">
        <f>100*[8]Cartera_Riesgosa!C37/[8]Cartera_Bruta!C75</f>
        <v>7.0229581210812544</v>
      </c>
      <c r="D37" s="53">
        <f>100*[8]Cartera_Riesgosa!D37/[8]Cartera_Bruta!D75</f>
        <v>20.593468894074206</v>
      </c>
      <c r="E37" s="53">
        <f>100*[8]Cartera_Riesgosa!E37/[8]Cartera_Bruta!F75</f>
        <v>6.7236577669724911</v>
      </c>
      <c r="F37" s="54">
        <f>+[8]Cartera_Riesgosa!F37*100/[8]Cartera_Bruta!G75</f>
        <v>11.514846438371078</v>
      </c>
      <c r="G37" s="55"/>
    </row>
    <row r="38" spans="1:7" x14ac:dyDescent="0.3">
      <c r="A38" s="43">
        <v>38292</v>
      </c>
      <c r="B38" s="52">
        <f>100*[8]Cartera_Riesgosa!B38/[8]Cartera_Bruta!B76</f>
        <v>10.420513746080228</v>
      </c>
      <c r="C38" s="52">
        <f>100*[8]Cartera_Riesgosa!C38/[8]Cartera_Bruta!C76</f>
        <v>6.8259263991465922</v>
      </c>
      <c r="D38" s="53">
        <f>100*[8]Cartera_Riesgosa!D38/[8]Cartera_Bruta!D76</f>
        <v>20.477236601346767</v>
      </c>
      <c r="E38" s="53">
        <f>100*[8]Cartera_Riesgosa!E38/[8]Cartera_Bruta!F76</f>
        <v>7.5575334126386036</v>
      </c>
      <c r="F38" s="54">
        <f>+[8]Cartera_Riesgosa!F38*100/[8]Cartera_Bruta!G76</f>
        <v>11.002996894594784</v>
      </c>
      <c r="G38" s="55"/>
    </row>
    <row r="39" spans="1:7" x14ac:dyDescent="0.3">
      <c r="A39" s="43">
        <v>38322</v>
      </c>
      <c r="B39" s="52">
        <f>100*[8]Cartera_Riesgosa!B39/[8]Cartera_Bruta!B77</f>
        <v>9.8018514529169938</v>
      </c>
      <c r="C39" s="52">
        <f>100*[8]Cartera_Riesgosa!C39/[8]Cartera_Bruta!C77</f>
        <v>5.8205501069567305</v>
      </c>
      <c r="D39" s="53">
        <f>100*[8]Cartera_Riesgosa!D39/[8]Cartera_Bruta!D77</f>
        <v>17.252427619090806</v>
      </c>
      <c r="E39" s="53">
        <f>100*[8]Cartera_Riesgosa!E39/[8]Cartera_Bruta!F77</f>
        <v>6.8852487688272275</v>
      </c>
      <c r="F39" s="54">
        <f>+[8]Cartera_Riesgosa!F39*100/[8]Cartera_Bruta!G77</f>
        <v>9.8273849076952278</v>
      </c>
      <c r="G39" s="55"/>
    </row>
    <row r="40" spans="1:7" x14ac:dyDescent="0.3">
      <c r="A40" s="43">
        <v>38353</v>
      </c>
      <c r="B40" s="52">
        <f>100*[8]Cartera_Riesgosa!B40/[8]Cartera_Bruta!B78</f>
        <v>9.9700529717713398</v>
      </c>
      <c r="C40" s="52">
        <f>100*[8]Cartera_Riesgosa!C40/[8]Cartera_Bruta!C78</f>
        <v>6.1823746698690476</v>
      </c>
      <c r="D40" s="53">
        <f>100*[8]Cartera_Riesgosa!D40/[8]Cartera_Bruta!D78</f>
        <v>17.712165182536019</v>
      </c>
      <c r="E40" s="53">
        <f>100*[8]Cartera_Riesgosa!E40/[8]Cartera_Bruta!F78</f>
        <v>7.3611919774241761</v>
      </c>
      <c r="F40" s="54">
        <f>+[8]Cartera_Riesgosa!F40*100/[8]Cartera_Bruta!G78</f>
        <v>10.065222229569908</v>
      </c>
      <c r="G40" s="55"/>
    </row>
    <row r="41" spans="1:7" x14ac:dyDescent="0.3">
      <c r="A41" s="43">
        <v>38384</v>
      </c>
      <c r="B41" s="52">
        <f>100*[8]Cartera_Riesgosa!B41/[8]Cartera_Bruta!B79</f>
        <v>9.7881687684529819</v>
      </c>
      <c r="C41" s="52">
        <f>100*[8]Cartera_Riesgosa!C41/[8]Cartera_Bruta!C79</f>
        <v>6.6159169728232587</v>
      </c>
      <c r="D41" s="53">
        <f>100*[8]Cartera_Riesgosa!D41/[8]Cartera_Bruta!D79</f>
        <v>17.215203061010275</v>
      </c>
      <c r="E41" s="53">
        <f>100*[8]Cartera_Riesgosa!E41/[8]Cartera_Bruta!F79</f>
        <v>7.1633459220169815</v>
      </c>
      <c r="F41" s="54">
        <f>+[8]Cartera_Riesgosa!F41*100/[8]Cartera_Bruta!G79</f>
        <v>9.9608725594031444</v>
      </c>
      <c r="G41" s="55"/>
    </row>
    <row r="42" spans="1:7" x14ac:dyDescent="0.3">
      <c r="A42" s="43">
        <v>38412</v>
      </c>
      <c r="B42" s="52">
        <f>100*[8]Cartera_Riesgosa!B42/[8]Cartera_Bruta!B80</f>
        <v>9.5738570685353643</v>
      </c>
      <c r="C42" s="52">
        <f>100*[8]Cartera_Riesgosa!C42/[8]Cartera_Bruta!C80</f>
        <v>7.0550268141545933</v>
      </c>
      <c r="D42" s="53">
        <f>100*[8]Cartera_Riesgosa!D42/[8]Cartera_Bruta!D80</f>
        <v>17.005225441940613</v>
      </c>
      <c r="E42" s="53">
        <f>100*[8]Cartera_Riesgosa!E42/[8]Cartera_Bruta!F80</f>
        <v>7.0595331769318097</v>
      </c>
      <c r="F42" s="54">
        <f>+[8]Cartera_Riesgosa!F42*100/[8]Cartera_Bruta!G80</f>
        <v>9.86449840706873</v>
      </c>
      <c r="G42" s="55"/>
    </row>
    <row r="43" spans="1:7" x14ac:dyDescent="0.3">
      <c r="A43" s="43">
        <v>38443</v>
      </c>
      <c r="B43" s="52">
        <f>100*[8]Cartera_Riesgosa!B43/[8]Cartera_Bruta!B81</f>
        <v>9.5596584300878185</v>
      </c>
      <c r="C43" s="52">
        <f>100*[8]Cartera_Riesgosa!C43/[8]Cartera_Bruta!C81</f>
        <v>6.8169372721816659</v>
      </c>
      <c r="D43" s="53">
        <f>100*[8]Cartera_Riesgosa!D43/[8]Cartera_Bruta!D81</f>
        <v>16.095586338372804</v>
      </c>
      <c r="E43" s="53">
        <f>100*[8]Cartera_Riesgosa!E43/[8]Cartera_Bruta!F81</f>
        <v>6.7131437776609859</v>
      </c>
      <c r="F43" s="54">
        <f>+[8]Cartera_Riesgosa!F43*100/[8]Cartera_Bruta!G81</f>
        <v>9.6788860388385984</v>
      </c>
      <c r="G43" s="55"/>
    </row>
    <row r="44" spans="1:7" x14ac:dyDescent="0.3">
      <c r="A44" s="43">
        <v>38473</v>
      </c>
      <c r="B44" s="52">
        <f>100*[8]Cartera_Riesgosa!B44/[8]Cartera_Bruta!B82</f>
        <v>9.6790512038305465</v>
      </c>
      <c r="C44" s="52">
        <f>100*[8]Cartera_Riesgosa!C44/[8]Cartera_Bruta!C82</f>
        <v>6.9260463689418836</v>
      </c>
      <c r="D44" s="53">
        <f>100*[8]Cartera_Riesgosa!D44/[8]Cartera_Bruta!D82</f>
        <v>16.483843202147071</v>
      </c>
      <c r="E44" s="53">
        <f>100*[8]Cartera_Riesgosa!E44/[8]Cartera_Bruta!F82</f>
        <v>6.6008533422898807</v>
      </c>
      <c r="F44" s="54">
        <f>+[8]Cartera_Riesgosa!F44*100/[8]Cartera_Bruta!G82</f>
        <v>9.8090030090872204</v>
      </c>
      <c r="G44" s="55"/>
    </row>
    <row r="45" spans="1:7" x14ac:dyDescent="0.3">
      <c r="A45" s="43">
        <v>38504</v>
      </c>
      <c r="B45" s="52">
        <f>100*[8]Cartera_Riesgosa!B45/[8]Cartera_Bruta!B83</f>
        <v>9.5886522451330691</v>
      </c>
      <c r="C45" s="52">
        <f>100*[8]Cartera_Riesgosa!C45/[8]Cartera_Bruta!C83</f>
        <v>6.2912003135784405</v>
      </c>
      <c r="D45" s="53">
        <f>100*[8]Cartera_Riesgosa!D45/[8]Cartera_Bruta!D83</f>
        <v>15.250430704396685</v>
      </c>
      <c r="E45" s="53">
        <f>100*[8]Cartera_Riesgosa!E45/[8]Cartera_Bruta!F83</f>
        <v>6.2847640822205868</v>
      </c>
      <c r="F45" s="54">
        <f>+[8]Cartera_Riesgosa!F45*100/[8]Cartera_Bruta!G83</f>
        <v>9.4531067054037194</v>
      </c>
      <c r="G45" s="55"/>
    </row>
    <row r="46" spans="1:7" x14ac:dyDescent="0.3">
      <c r="A46" s="43">
        <v>38534</v>
      </c>
      <c r="B46" s="52">
        <f>100*[8]Cartera_Riesgosa!B46/[8]Cartera_Bruta!B84</f>
        <v>10.044448351031926</v>
      </c>
      <c r="C46" s="52">
        <f>100*[8]Cartera_Riesgosa!C46/[8]Cartera_Bruta!C84</f>
        <v>6.5364677685307058</v>
      </c>
      <c r="D46" s="53">
        <f>100*[8]Cartera_Riesgosa!D46/[8]Cartera_Bruta!D84</f>
        <v>15.12692040887733</v>
      </c>
      <c r="E46" s="53">
        <f>100*[8]Cartera_Riesgosa!E46/[8]Cartera_Bruta!F84</f>
        <v>6.4486094650897918</v>
      </c>
      <c r="F46" s="54">
        <f>+[8]Cartera_Riesgosa!F46*100/[8]Cartera_Bruta!G84</f>
        <v>9.7739026414361501</v>
      </c>
      <c r="G46" s="55"/>
    </row>
    <row r="47" spans="1:7" x14ac:dyDescent="0.3">
      <c r="A47" s="43">
        <v>38565</v>
      </c>
      <c r="B47" s="52">
        <f>100*[8]Cartera_Riesgosa!B47/[8]Cartera_Bruta!B85</f>
        <v>9.3293091375794859</v>
      </c>
      <c r="C47" s="52">
        <f>100*[8]Cartera_Riesgosa!C47/[8]Cartera_Bruta!C85</f>
        <v>6.3622249713007406</v>
      </c>
      <c r="D47" s="53">
        <f>100*[8]Cartera_Riesgosa!D47/[8]Cartera_Bruta!D85</f>
        <v>14.934010279980793</v>
      </c>
      <c r="E47" s="53">
        <f>100*[8]Cartera_Riesgosa!E47/[8]Cartera_Bruta!F85</f>
        <v>6.1438767369470666</v>
      </c>
      <c r="F47" s="54">
        <f>+[8]Cartera_Riesgosa!F47*100/[8]Cartera_Bruta!G85</f>
        <v>9.2247241082846809</v>
      </c>
      <c r="G47" s="55"/>
    </row>
    <row r="48" spans="1:7" x14ac:dyDescent="0.3">
      <c r="A48" s="43">
        <v>38596</v>
      </c>
      <c r="B48" s="52">
        <f>100*[8]Cartera_Riesgosa!B48/[8]Cartera_Bruta!B86</f>
        <v>8.540417836349917</v>
      </c>
      <c r="C48" s="52">
        <f>100*[8]Cartera_Riesgosa!C48/[8]Cartera_Bruta!C86</f>
        <v>6.2099491596968219</v>
      </c>
      <c r="D48" s="53">
        <f>100*[8]Cartera_Riesgosa!D48/[8]Cartera_Bruta!D86</f>
        <v>15.072161308260617</v>
      </c>
      <c r="E48" s="53">
        <f>100*[8]Cartera_Riesgosa!E48/[8]Cartera_Bruta!F86</f>
        <v>6.12462487786817</v>
      </c>
      <c r="F48" s="54">
        <f>+[8]Cartera_Riesgosa!F48*100/[8]Cartera_Bruta!G86</f>
        <v>8.635524203414402</v>
      </c>
      <c r="G48" s="55"/>
    </row>
    <row r="49" spans="1:7" x14ac:dyDescent="0.3">
      <c r="A49" s="43">
        <v>38626</v>
      </c>
      <c r="B49" s="52">
        <f>100*[8]Cartera_Riesgosa!B49/[8]Cartera_Bruta!B87</f>
        <v>8.5806359026012338</v>
      </c>
      <c r="C49" s="52">
        <f>100*[8]Cartera_Riesgosa!C49/[8]Cartera_Bruta!C87</f>
        <v>6.4631552334193429</v>
      </c>
      <c r="D49" s="53">
        <f>100*[8]Cartera_Riesgosa!D49/[8]Cartera_Bruta!D87</f>
        <v>14.961197054897948</v>
      </c>
      <c r="E49" s="53">
        <f>100*[8]Cartera_Riesgosa!E49/[8]Cartera_Bruta!F87</f>
        <v>5.4887941576235955</v>
      </c>
      <c r="F49" s="54">
        <f>+[8]Cartera_Riesgosa!F49*100/[8]Cartera_Bruta!G87</f>
        <v>8.6858470313272864</v>
      </c>
      <c r="G49" s="55"/>
    </row>
    <row r="50" spans="1:7" x14ac:dyDescent="0.3">
      <c r="A50" s="43">
        <v>38657</v>
      </c>
      <c r="B50" s="52">
        <f>100*[8]Cartera_Riesgosa!B50/[8]Cartera_Bruta!B88</f>
        <v>8.7392964916720111</v>
      </c>
      <c r="C50" s="52">
        <f>100*[8]Cartera_Riesgosa!C50/[8]Cartera_Bruta!C88</f>
        <v>6.4704459878713223</v>
      </c>
      <c r="D50" s="53">
        <f>100*[8]Cartera_Riesgosa!D50/[8]Cartera_Bruta!D88</f>
        <v>14.699466608801476</v>
      </c>
      <c r="E50" s="53">
        <f>100*[8]Cartera_Riesgosa!E50/[8]Cartera_Bruta!F88</f>
        <v>5.0750415151806827</v>
      </c>
      <c r="F50" s="54">
        <f>+[8]Cartera_Riesgosa!F50*100/[8]Cartera_Bruta!G88</f>
        <v>8.7373319080508249</v>
      </c>
      <c r="G50" s="55"/>
    </row>
    <row r="51" spans="1:7" x14ac:dyDescent="0.3">
      <c r="A51" s="43">
        <v>38687</v>
      </c>
      <c r="B51" s="52">
        <f>100*[8]Cartera_Riesgosa!B51/[8]Cartera_Bruta!B89</f>
        <v>8.360794983508212</v>
      </c>
      <c r="C51" s="52">
        <f>100*[8]Cartera_Riesgosa!C51/[8]Cartera_Bruta!C89</f>
        <v>5.631105736268176</v>
      </c>
      <c r="D51" s="53">
        <f>100*[8]Cartera_Riesgosa!D51/[8]Cartera_Bruta!D89</f>
        <v>12.547688081691252</v>
      </c>
      <c r="E51" s="53">
        <f>100*[8]Cartera_Riesgosa!E51/[8]Cartera_Bruta!F89</f>
        <v>6.1357744491822386</v>
      </c>
      <c r="F51" s="54">
        <f>+[8]Cartera_Riesgosa!F51*100/[8]Cartera_Bruta!G89</f>
        <v>8.0716524801923288</v>
      </c>
      <c r="G51" s="55"/>
    </row>
    <row r="52" spans="1:7" x14ac:dyDescent="0.3">
      <c r="A52" s="43">
        <v>38718</v>
      </c>
      <c r="B52" s="52">
        <f>100*[8]Cartera_Riesgosa!B52/[8]Cartera_Bruta!B90</f>
        <v>8.6259322655434918</v>
      </c>
      <c r="C52" s="52">
        <f>100*[8]Cartera_Riesgosa!C52/[8]Cartera_Bruta!C90</f>
        <v>6.0573373254183451</v>
      </c>
      <c r="D52" s="53">
        <f>100*[8]Cartera_Riesgosa!D52/[8]Cartera_Bruta!D90</f>
        <v>12.484262912271451</v>
      </c>
      <c r="E52" s="53">
        <f>100*[8]Cartera_Riesgosa!E52/[8]Cartera_Bruta!F90</f>
        <v>6.4202232168142892</v>
      </c>
      <c r="F52" s="54">
        <f>+[8]Cartera_Riesgosa!F52*100/[8]Cartera_Bruta!G90</f>
        <v>8.3353120251170907</v>
      </c>
      <c r="G52" s="55"/>
    </row>
    <row r="53" spans="1:7" x14ac:dyDescent="0.3">
      <c r="A53" s="43">
        <v>38749</v>
      </c>
      <c r="B53" s="52">
        <f>100*[8]Cartera_Riesgosa!B53/[8]Cartera_Bruta!B91</f>
        <v>8.0812809183521388</v>
      </c>
      <c r="C53" s="52">
        <f>100*[8]Cartera_Riesgosa!C53/[8]Cartera_Bruta!C91</f>
        <v>6.3499466129407072</v>
      </c>
      <c r="D53" s="53">
        <f>100*[8]Cartera_Riesgosa!D53/[8]Cartera_Bruta!D91</f>
        <v>12.155788840160877</v>
      </c>
      <c r="E53" s="53">
        <f>100*[8]Cartera_Riesgosa!E53/[8]Cartera_Bruta!F91</f>
        <v>6.0337941684741674</v>
      </c>
      <c r="F53" s="54">
        <f>+[8]Cartera_Riesgosa!F53*100/[8]Cartera_Bruta!G91</f>
        <v>8.0109686952895611</v>
      </c>
      <c r="G53" s="55"/>
    </row>
    <row r="54" spans="1:7" x14ac:dyDescent="0.3">
      <c r="A54" s="43">
        <v>38777</v>
      </c>
      <c r="B54" s="52">
        <f>100*[8]Cartera_Riesgosa!B54/[8]Cartera_Bruta!B92</f>
        <v>7.9646719984422898</v>
      </c>
      <c r="C54" s="52">
        <f>100*[8]Cartera_Riesgosa!C54/[8]Cartera_Bruta!C92</f>
        <v>6.3703313253383893</v>
      </c>
      <c r="D54" s="53">
        <f>100*[8]Cartera_Riesgosa!D54/[8]Cartera_Bruta!D92</f>
        <v>12.110191294071532</v>
      </c>
      <c r="E54" s="53">
        <f>100*[8]Cartera_Riesgosa!E54/[8]Cartera_Bruta!F92</f>
        <v>6.2555848228379523</v>
      </c>
      <c r="F54" s="54">
        <f>+[8]Cartera_Riesgosa!F54*100/[8]Cartera_Bruta!G92</f>
        <v>7.9314744209881729</v>
      </c>
      <c r="G54" s="55"/>
    </row>
    <row r="55" spans="1:7" x14ac:dyDescent="0.3">
      <c r="A55" s="43">
        <v>38808</v>
      </c>
      <c r="B55" s="52">
        <f>100*[8]Cartera_Riesgosa!B55/[8]Cartera_Bruta!B93</f>
        <v>7.9150361023337954</v>
      </c>
      <c r="C55" s="52">
        <f>100*[8]Cartera_Riesgosa!C55/[8]Cartera_Bruta!C93</f>
        <v>6.7220519047200105</v>
      </c>
      <c r="D55" s="53">
        <f>100*[8]Cartera_Riesgosa!D55/[8]Cartera_Bruta!D93</f>
        <v>11.649803134342102</v>
      </c>
      <c r="E55" s="53">
        <f>100*[8]Cartera_Riesgosa!E55/[8]Cartera_Bruta!F93</f>
        <v>6.2811759477580456</v>
      </c>
      <c r="F55" s="54">
        <f>+[8]Cartera_Riesgosa!F55*100/[8]Cartera_Bruta!G93</f>
        <v>7.9415984175715648</v>
      </c>
      <c r="G55" s="55"/>
    </row>
    <row r="56" spans="1:7" x14ac:dyDescent="0.3">
      <c r="A56" s="43">
        <v>38838</v>
      </c>
      <c r="B56" s="52">
        <f>100*[8]Cartera_Riesgosa!B56/[8]Cartera_Bruta!B94</f>
        <v>7.4962416558953535</v>
      </c>
      <c r="C56" s="52">
        <f>100*[8]Cartera_Riesgosa!C56/[8]Cartera_Bruta!C94</f>
        <v>6.8963440675349981</v>
      </c>
      <c r="D56" s="53">
        <f>100*[8]Cartera_Riesgosa!D56/[8]Cartera_Bruta!D94</f>
        <v>11.310532134366955</v>
      </c>
      <c r="E56" s="53">
        <f>100*[8]Cartera_Riesgosa!E56/[8]Cartera_Bruta!F94</f>
        <v>6.2418397268997587</v>
      </c>
      <c r="F56" s="54">
        <f>+[8]Cartera_Riesgosa!F56*100/[8]Cartera_Bruta!G94</f>
        <v>7.6900521851189092</v>
      </c>
      <c r="G56" s="55"/>
    </row>
    <row r="57" spans="1:7" x14ac:dyDescent="0.3">
      <c r="A57" s="43">
        <v>38869</v>
      </c>
      <c r="B57" s="52">
        <f>100*[8]Cartera_Riesgosa!B57/[8]Cartera_Bruta!B95</f>
        <v>7.1003594540110226</v>
      </c>
      <c r="C57" s="52">
        <f>100*[8]Cartera_Riesgosa!C57/[8]Cartera_Bruta!C95</f>
        <v>6.7166750781728748</v>
      </c>
      <c r="D57" s="53">
        <f>100*[8]Cartera_Riesgosa!D57/[8]Cartera_Bruta!D95</f>
        <v>10.348378832419026</v>
      </c>
      <c r="E57" s="53">
        <f>100*[8]Cartera_Riesgosa!E57/[8]Cartera_Bruta!F95</f>
        <v>6.1349522699474601</v>
      </c>
      <c r="F57" s="54">
        <f>+[8]Cartera_Riesgosa!F57*100/[8]Cartera_Bruta!G95</f>
        <v>7.2988256319173956</v>
      </c>
      <c r="G57" s="55"/>
    </row>
    <row r="58" spans="1:7" x14ac:dyDescent="0.3">
      <c r="A58" s="43">
        <v>38899</v>
      </c>
      <c r="B58" s="52">
        <f>100*[8]Cartera_Riesgosa!B58/[8]Cartera_Bruta!B96</f>
        <v>7.045319398986817</v>
      </c>
      <c r="C58" s="52">
        <f>100*[8]Cartera_Riesgosa!C58/[8]Cartera_Bruta!C96</f>
        <v>6.8709951700578653</v>
      </c>
      <c r="D58" s="53">
        <f>100*[8]Cartera_Riesgosa!D58/[8]Cartera_Bruta!D96</f>
        <v>9.9149318287577977</v>
      </c>
      <c r="E58" s="53">
        <f>100*[8]Cartera_Riesgosa!E58/[8]Cartera_Bruta!F96</f>
        <v>6.2426190625434117</v>
      </c>
      <c r="F58" s="54">
        <f>+[8]Cartera_Riesgosa!F58*100/[8]Cartera_Bruta!G96</f>
        <v>7.2629696637924077</v>
      </c>
      <c r="G58" s="55"/>
    </row>
    <row r="59" spans="1:7" x14ac:dyDescent="0.3">
      <c r="A59" s="43">
        <v>38930</v>
      </c>
      <c r="B59" s="52">
        <f>100*[8]Cartera_Riesgosa!B59/[8]Cartera_Bruta!B97</f>
        <v>6.4827271054808655</v>
      </c>
      <c r="C59" s="52">
        <f>100*[8]Cartera_Riesgosa!C59/[8]Cartera_Bruta!C97</f>
        <v>6.6086462286927539</v>
      </c>
      <c r="D59" s="53">
        <f>100*[8]Cartera_Riesgosa!D59/[8]Cartera_Bruta!D97</f>
        <v>9.5003079405356612</v>
      </c>
      <c r="E59" s="53">
        <f>100*[8]Cartera_Riesgosa!E59/[8]Cartera_Bruta!F97</f>
        <v>6.0827140452662727</v>
      </c>
      <c r="F59" s="54">
        <f>+[8]Cartera_Riesgosa!F59*100/[8]Cartera_Bruta!G97</f>
        <v>6.80182300563271</v>
      </c>
      <c r="G59" s="55"/>
    </row>
    <row r="60" spans="1:7" x14ac:dyDescent="0.3">
      <c r="A60" s="43">
        <v>38961</v>
      </c>
      <c r="B60" s="52">
        <f>100*[8]Cartera_Riesgosa!B60/[8]Cartera_Bruta!B98</f>
        <v>6.2566171607757326</v>
      </c>
      <c r="C60" s="52">
        <f>100*[8]Cartera_Riesgosa!C60/[8]Cartera_Bruta!C98</f>
        <v>6.5432708496699341</v>
      </c>
      <c r="D60" s="53">
        <f>100*[8]Cartera_Riesgosa!D60/[8]Cartera_Bruta!D98</f>
        <v>8.936559586760545</v>
      </c>
      <c r="E60" s="53">
        <f>100*[8]Cartera_Riesgosa!E60/[8]Cartera_Bruta!F98</f>
        <v>6.19112564900741</v>
      </c>
      <c r="F60" s="54">
        <f>+[8]Cartera_Riesgosa!F60*100/[8]Cartera_Bruta!G98</f>
        <v>6.5941876314241421</v>
      </c>
      <c r="G60" s="55"/>
    </row>
    <row r="61" spans="1:7" x14ac:dyDescent="0.3">
      <c r="A61" s="43">
        <v>38991</v>
      </c>
      <c r="B61" s="52">
        <f>100*[8]Cartera_Riesgosa!B61/[8]Cartera_Bruta!B99</f>
        <v>6.1432928672053784</v>
      </c>
      <c r="C61" s="52">
        <f>100*[8]Cartera_Riesgosa!C61/[8]Cartera_Bruta!C99</f>
        <v>6.8269920486390268</v>
      </c>
      <c r="D61" s="53">
        <f>100*[8]Cartera_Riesgosa!D61/[8]Cartera_Bruta!D99</f>
        <v>9.4295867837170864</v>
      </c>
      <c r="E61" s="53">
        <f>100*[8]Cartera_Riesgosa!E61/[8]Cartera_Bruta!F99</f>
        <v>6.0933452518051467</v>
      </c>
      <c r="F61" s="54">
        <f>+[8]Cartera_Riesgosa!F61*100/[8]Cartera_Bruta!G99</f>
        <v>6.6242556312182863</v>
      </c>
      <c r="G61" s="55"/>
    </row>
    <row r="62" spans="1:7" x14ac:dyDescent="0.3">
      <c r="A62" s="43">
        <v>39022</v>
      </c>
      <c r="B62" s="52">
        <f>100*[8]Cartera_Riesgosa!B62/[8]Cartera_Bruta!B100</f>
        <v>5.5096613190749588</v>
      </c>
      <c r="C62" s="52">
        <f>100*[8]Cartera_Riesgosa!C62/[8]Cartera_Bruta!C100</f>
        <v>7.0073327811820398</v>
      </c>
      <c r="D62" s="53">
        <f>100*[8]Cartera_Riesgosa!D62/[8]Cartera_Bruta!D100</f>
        <v>9.4264743747353634</v>
      </c>
      <c r="E62" s="53">
        <f>100*[8]Cartera_Riesgosa!E62/[8]Cartera_Bruta!F100</f>
        <v>6.0811370872643344</v>
      </c>
      <c r="F62" s="54">
        <f>+[8]Cartera_Riesgosa!F62*100/[8]Cartera_Bruta!G100</f>
        <v>6.2691387481011791</v>
      </c>
      <c r="G62" s="55"/>
    </row>
    <row r="63" spans="1:7" x14ac:dyDescent="0.3">
      <c r="A63" s="43">
        <v>39052</v>
      </c>
      <c r="B63" s="52">
        <f>100*[8]Cartera_Riesgosa!B63/[8]Cartera_Bruta!B101</f>
        <v>5.8970705660708154</v>
      </c>
      <c r="C63" s="52">
        <f>100*[8]Cartera_Riesgosa!C63/[8]Cartera_Bruta!C101</f>
        <v>6.6597009369612596</v>
      </c>
      <c r="D63" s="53">
        <f>100*[8]Cartera_Riesgosa!D63/[8]Cartera_Bruta!D101</f>
        <v>8.9590833319968439</v>
      </c>
      <c r="E63" s="53">
        <f>100*[8]Cartera_Riesgosa!E63/[8]Cartera_Bruta!F101</f>
        <v>6.2451821557240015</v>
      </c>
      <c r="F63" s="54">
        <f>+[8]Cartera_Riesgosa!F63*100/[8]Cartera_Bruta!G101</f>
        <v>6.3751410516758362</v>
      </c>
      <c r="G63" s="55"/>
    </row>
    <row r="64" spans="1:7" x14ac:dyDescent="0.3">
      <c r="A64" s="43">
        <v>39083</v>
      </c>
      <c r="B64" s="52">
        <f>100*[8]Cartera_Riesgosa!B64/[8]Cartera_Bruta!B102</f>
        <v>5.7640769425826761</v>
      </c>
      <c r="C64" s="52">
        <f>100*[8]Cartera_Riesgosa!C64/[8]Cartera_Bruta!C102</f>
        <v>6.8148206820224662</v>
      </c>
      <c r="D64" s="53">
        <f>100*[8]Cartera_Riesgosa!D64/[8]Cartera_Bruta!D102</f>
        <v>8.8518409738502477</v>
      </c>
      <c r="E64" s="53">
        <f>100*[8]Cartera_Riesgosa!E64/[8]Cartera_Bruta!F102</f>
        <v>6.4346659368347563</v>
      </c>
      <c r="F64" s="54">
        <f>+[8]Cartera_Riesgosa!F64*100/[8]Cartera_Bruta!G102</f>
        <v>6.3362437840621721</v>
      </c>
      <c r="G64" s="55"/>
    </row>
    <row r="65" spans="1:7" x14ac:dyDescent="0.3">
      <c r="A65" s="43">
        <v>39114</v>
      </c>
      <c r="B65" s="52">
        <f>100*[8]Cartera_Riesgosa!B65/[8]Cartera_Bruta!B103</f>
        <v>5.7490331192101634</v>
      </c>
      <c r="C65" s="52">
        <f>100*[8]Cartera_Riesgosa!C65/[8]Cartera_Bruta!C103</f>
        <v>7.2101947633096577</v>
      </c>
      <c r="D65" s="53">
        <f>100*[8]Cartera_Riesgosa!D65/[8]Cartera_Bruta!D103</f>
        <v>8.1996379044542564</v>
      </c>
      <c r="E65" s="53">
        <f>100*[8]Cartera_Riesgosa!E65/[8]Cartera_Bruta!F103</f>
        <v>6.6244608409385517</v>
      </c>
      <c r="F65" s="54">
        <f>+[8]Cartera_Riesgosa!F65*100/[8]Cartera_Bruta!G103</f>
        <v>6.3830397143041999</v>
      </c>
      <c r="G65" s="55"/>
    </row>
    <row r="66" spans="1:7" x14ac:dyDescent="0.3">
      <c r="A66" s="43">
        <v>39142</v>
      </c>
      <c r="B66" s="52">
        <f>100*[8]Cartera_Riesgosa!B66/[8]Cartera_Bruta!B104</f>
        <v>5.9667897958252114</v>
      </c>
      <c r="C66" s="52">
        <f>100*[8]Cartera_Riesgosa!C66/[8]Cartera_Bruta!C104</f>
        <v>7.3307229454862295</v>
      </c>
      <c r="D66" s="53">
        <f>100*[8]Cartera_Riesgosa!D66/[8]Cartera_Bruta!D104</f>
        <v>8.0659085769606573</v>
      </c>
      <c r="E66" s="53">
        <f>100*[8]Cartera_Riesgosa!E66/[8]Cartera_Bruta!F104</f>
        <v>6.8563492768133276</v>
      </c>
      <c r="F66" s="54">
        <f>+[8]Cartera_Riesgosa!F66*100/[8]Cartera_Bruta!G104</f>
        <v>6.549592628662519</v>
      </c>
      <c r="G66" s="55"/>
    </row>
    <row r="67" spans="1:7" x14ac:dyDescent="0.3">
      <c r="A67" s="43">
        <v>39173</v>
      </c>
      <c r="B67" s="52">
        <f>100*[8]Cartera_Riesgosa!B67/[8]Cartera_Bruta!B105</f>
        <v>5.8768866797505783</v>
      </c>
      <c r="C67" s="52">
        <f>100*[8]Cartera_Riesgosa!C67/[8]Cartera_Bruta!C105</f>
        <v>7.4006290105784727</v>
      </c>
      <c r="D67" s="53">
        <f>100*[8]Cartera_Riesgosa!D67/[8]Cartera_Bruta!D105</f>
        <v>8.0409417052199679</v>
      </c>
      <c r="E67" s="53">
        <f>100*[8]Cartera_Riesgosa!E67/[8]Cartera_Bruta!F105</f>
        <v>6.8186953041073357</v>
      </c>
      <c r="F67" s="54">
        <f>+[8]Cartera_Riesgosa!F67*100/[8]Cartera_Bruta!G105</f>
        <v>6.5191873312390411</v>
      </c>
      <c r="G67" s="55"/>
    </row>
    <row r="68" spans="1:7" x14ac:dyDescent="0.3">
      <c r="A68" s="43">
        <v>39203</v>
      </c>
      <c r="B68" s="52">
        <f>100*[8]Cartera_Riesgosa!B68/[8]Cartera_Bruta!B106</f>
        <v>5.4853714831574258</v>
      </c>
      <c r="C68" s="52">
        <f>100*[8]Cartera_Riesgosa!C68/[8]Cartera_Bruta!C106</f>
        <v>7.3913316486921854</v>
      </c>
      <c r="D68" s="53">
        <f>100*[8]Cartera_Riesgosa!D68/[8]Cartera_Bruta!D106</f>
        <v>8.0338808740296432</v>
      </c>
      <c r="E68" s="53">
        <f>100*[8]Cartera_Riesgosa!E68/[8]Cartera_Bruta!F106</f>
        <v>6.8353854517102732</v>
      </c>
      <c r="F68" s="54">
        <f>+[8]Cartera_Riesgosa!F68*100/[8]Cartera_Bruta!G106</f>
        <v>6.2765224190924016</v>
      </c>
      <c r="G68" s="55"/>
    </row>
    <row r="69" spans="1:7" x14ac:dyDescent="0.3">
      <c r="A69" s="43">
        <v>39234</v>
      </c>
      <c r="B69" s="52">
        <f>100*[8]Cartera_Riesgosa!B69/[8]Cartera_Bruta!B107</f>
        <v>6.1425656331194505</v>
      </c>
      <c r="C69" s="52">
        <f>100*[8]Cartera_Riesgosa!C69/[8]Cartera_Bruta!C107</f>
        <v>7.8991774327002382</v>
      </c>
      <c r="D69" s="53">
        <f>100*[8]Cartera_Riesgosa!D69/[8]Cartera_Bruta!D107</f>
        <v>8.1860427165955851</v>
      </c>
      <c r="E69" s="53">
        <f>100*[8]Cartera_Riesgosa!E69/[8]Cartera_Bruta!F107</f>
        <v>7.0717883248988187</v>
      </c>
      <c r="F69" s="54">
        <f>+[8]Cartera_Riesgosa!F69*100/[8]Cartera_Bruta!G107</f>
        <v>6.8373230260521982</v>
      </c>
      <c r="G69" s="55"/>
    </row>
    <row r="70" spans="1:7" x14ac:dyDescent="0.3">
      <c r="A70" s="43">
        <v>39264</v>
      </c>
      <c r="B70" s="52">
        <f>100*[8]Cartera_Riesgosa!B70/[8]Cartera_Bruta!B108</f>
        <v>5.4336724608651616</v>
      </c>
      <c r="C70" s="52">
        <f>100*[8]Cartera_Riesgosa!C70/[8]Cartera_Bruta!C108</f>
        <v>7.8955154037311779</v>
      </c>
      <c r="D70" s="53">
        <f>100*[8]Cartera_Riesgosa!D70/[8]Cartera_Bruta!D108</f>
        <v>8.2717975341909629</v>
      </c>
      <c r="E70" s="53">
        <f>100*[8]Cartera_Riesgosa!E70/[8]Cartera_Bruta!F108</f>
        <v>7.3511632408434675</v>
      </c>
      <c r="F70" s="54">
        <f>+[8]Cartera_Riesgosa!F70*100/[8]Cartera_Bruta!G108</f>
        <v>6.4112179179859572</v>
      </c>
      <c r="G70" s="55"/>
    </row>
    <row r="71" spans="1:7" x14ac:dyDescent="0.3">
      <c r="A71" s="43">
        <v>39295</v>
      </c>
      <c r="B71" s="52">
        <f>100*[8]Cartera_Riesgosa!B71/[8]Cartera_Bruta!B109</f>
        <v>5.5431243790934017</v>
      </c>
      <c r="C71" s="52">
        <f>100*[8]Cartera_Riesgosa!C71/[8]Cartera_Bruta!C109</f>
        <v>7.8926649870026484</v>
      </c>
      <c r="D71" s="53">
        <f>100*[8]Cartera_Riesgosa!D71/[8]Cartera_Bruta!D109</f>
        <v>7.9559268323020715</v>
      </c>
      <c r="E71" s="53">
        <f>100*[8]Cartera_Riesgosa!E71/[8]Cartera_Bruta!F109</f>
        <v>7.2251801629079528</v>
      </c>
      <c r="F71" s="54">
        <f>+[8]Cartera_Riesgosa!F71*100/[8]Cartera_Bruta!G109</f>
        <v>6.448521176793526</v>
      </c>
      <c r="G71" s="55"/>
    </row>
    <row r="72" spans="1:7" x14ac:dyDescent="0.3">
      <c r="A72" s="43">
        <v>39326</v>
      </c>
      <c r="B72" s="52">
        <f>100*[8]Cartera_Riesgosa!B72/[8]Cartera_Bruta!B110</f>
        <v>5.219533008347204</v>
      </c>
      <c r="C72" s="52">
        <f>100*[8]Cartera_Riesgosa!C72/[8]Cartera_Bruta!C110</f>
        <v>8.34428544381508</v>
      </c>
      <c r="D72" s="53">
        <f>100*[8]Cartera_Riesgosa!D72/[8]Cartera_Bruta!D110</f>
        <v>7.823287085789234</v>
      </c>
      <c r="E72" s="53">
        <f>100*[8]Cartera_Riesgosa!E72/[8]Cartera_Bruta!F110</f>
        <v>7.6965268391808248</v>
      </c>
      <c r="F72" s="54">
        <f>+[8]Cartera_Riesgosa!F72*100/[8]Cartera_Bruta!G110</f>
        <v>6.3738117650903847</v>
      </c>
      <c r="G72" s="55"/>
    </row>
    <row r="73" spans="1:7" x14ac:dyDescent="0.3">
      <c r="A73" s="43">
        <v>39356</v>
      </c>
      <c r="B73" s="52">
        <f>100*[8]Cartera_Riesgosa!B73/[8]Cartera_Bruta!B111</f>
        <v>5.4771156266148244</v>
      </c>
      <c r="C73" s="52">
        <f>100*[8]Cartera_Riesgosa!C73/[8]Cartera_Bruta!C111</f>
        <v>8.4957902439410073</v>
      </c>
      <c r="D73" s="53">
        <f>100*[8]Cartera_Riesgosa!D73/[8]Cartera_Bruta!D111</f>
        <v>7.7325664652764967</v>
      </c>
      <c r="E73" s="53">
        <f>100*[8]Cartera_Riesgosa!E73/[8]Cartera_Bruta!F111</f>
        <v>7.6979618380021666</v>
      </c>
      <c r="F73" s="54">
        <f>+[8]Cartera_Riesgosa!F73*100/[8]Cartera_Bruta!G111</f>
        <v>6.587229762994613</v>
      </c>
      <c r="G73" s="55"/>
    </row>
    <row r="74" spans="1:7" x14ac:dyDescent="0.3">
      <c r="A74" s="43">
        <v>39387</v>
      </c>
      <c r="B74" s="52">
        <f>100*[8]Cartera_Riesgosa!B74/[8]Cartera_Bruta!B112</f>
        <v>5.237347685174214</v>
      </c>
      <c r="C74" s="52">
        <f>100*[8]Cartera_Riesgosa!C74/[8]Cartera_Bruta!C112</f>
        <v>8.740909747695774</v>
      </c>
      <c r="D74" s="53">
        <f>100*[8]Cartera_Riesgosa!D74/[8]Cartera_Bruta!D112</f>
        <v>8.0445454242428376</v>
      </c>
      <c r="E74" s="53">
        <f>100*[8]Cartera_Riesgosa!E74/[8]Cartera_Bruta!F112</f>
        <v>7.8378920003605241</v>
      </c>
      <c r="F74" s="54">
        <f>+[8]Cartera_Riesgosa!F74*100/[8]Cartera_Bruta!G112</f>
        <v>6.5283809582580874</v>
      </c>
      <c r="G74" s="55"/>
    </row>
    <row r="75" spans="1:7" x14ac:dyDescent="0.3">
      <c r="A75" s="43">
        <v>39417</v>
      </c>
      <c r="B75" s="52">
        <f>100*[8]Cartera_Riesgosa!B75/[8]Cartera_Bruta!B113</f>
        <v>5.5431599135086378</v>
      </c>
      <c r="C75" s="52">
        <f>100*[8]Cartera_Riesgosa!C75/[8]Cartera_Bruta!C113</f>
        <v>8.5286350565282358</v>
      </c>
      <c r="D75" s="53">
        <f>100*[8]Cartera_Riesgosa!D75/[8]Cartera_Bruta!D113</f>
        <v>7.6911588872296379</v>
      </c>
      <c r="E75" s="53">
        <f>100*[8]Cartera_Riesgosa!E75/[8]Cartera_Bruta!F113</f>
        <v>7.6652139653355471</v>
      </c>
      <c r="F75" s="54">
        <f>+[8]Cartera_Riesgosa!F75*100/[8]Cartera_Bruta!G113</f>
        <v>6.6279056087722195</v>
      </c>
      <c r="G75" s="55"/>
    </row>
    <row r="76" spans="1:7" x14ac:dyDescent="0.3">
      <c r="A76" s="43">
        <v>39448</v>
      </c>
      <c r="B76" s="52">
        <f>100*[8]Cartera_Riesgosa!B76/[8]Cartera_Bruta!B114</f>
        <v>5.6757375897341538</v>
      </c>
      <c r="C76" s="52">
        <f>100*[8]Cartera_Riesgosa!C76/[8]Cartera_Bruta!C114</f>
        <v>9.0459982179825325</v>
      </c>
      <c r="D76" s="53">
        <f>100*[8]Cartera_Riesgosa!D76/[8]Cartera_Bruta!D114</f>
        <v>7.8144978618826331</v>
      </c>
      <c r="E76" s="53">
        <f>100*[8]Cartera_Riesgosa!E76/[8]Cartera_Bruta!F114</f>
        <v>8.1021983447149655</v>
      </c>
      <c r="F76" s="54">
        <f>+[8]Cartera_Riesgosa!F76*100/[8]Cartera_Bruta!G114</f>
        <v>6.8836234217583119</v>
      </c>
      <c r="G76" s="55"/>
    </row>
    <row r="77" spans="1:7" x14ac:dyDescent="0.3">
      <c r="A77" s="43">
        <v>39479</v>
      </c>
      <c r="B77" s="52">
        <f>100*[8]Cartera_Riesgosa!B77/[8]Cartera_Bruta!B115</f>
        <v>5.5749829647990019</v>
      </c>
      <c r="C77" s="52">
        <f>100*[8]Cartera_Riesgosa!C77/[8]Cartera_Bruta!C115</f>
        <v>9.7323798411594531</v>
      </c>
      <c r="D77" s="53">
        <f>100*[8]Cartera_Riesgosa!D77/[8]Cartera_Bruta!D115</f>
        <v>7.5900630517881904</v>
      </c>
      <c r="E77" s="53">
        <f>100*[8]Cartera_Riesgosa!E77/[8]Cartera_Bruta!F115</f>
        <v>8.1199044498087396</v>
      </c>
      <c r="F77" s="54">
        <f>+[8]Cartera_Riesgosa!F77*100/[8]Cartera_Bruta!G115</f>
        <v>7.0014764860783343</v>
      </c>
      <c r="G77" s="55"/>
    </row>
    <row r="78" spans="1:7" x14ac:dyDescent="0.3">
      <c r="A78" s="43">
        <v>39508</v>
      </c>
      <c r="B78" s="52">
        <f>100*[8]Cartera_Riesgosa!B78/[8]Cartera_Bruta!B116</f>
        <v>5.4273892018384329</v>
      </c>
      <c r="C78" s="52">
        <f>100*[8]Cartera_Riesgosa!C78/[8]Cartera_Bruta!C116</f>
        <v>10.464103559567164</v>
      </c>
      <c r="D78" s="53">
        <f>100*[8]Cartera_Riesgosa!D78/[8]Cartera_Bruta!D116</f>
        <v>7.7465644640895421</v>
      </c>
      <c r="E78" s="53">
        <f>100*[8]Cartera_Riesgosa!E78/[8]Cartera_Bruta!F116</f>
        <v>8.753271388480675</v>
      </c>
      <c r="F78" s="54">
        <f>+[8]Cartera_Riesgosa!F78*100/[8]Cartera_Bruta!G116</f>
        <v>7.1457620460214715</v>
      </c>
      <c r="G78" s="55"/>
    </row>
    <row r="79" spans="1:7" x14ac:dyDescent="0.3">
      <c r="A79" s="43">
        <v>39539</v>
      </c>
      <c r="B79" s="52">
        <f>100*[8]Cartera_Riesgosa!B79/[8]Cartera_Bruta!B117</f>
        <v>5.5244427099108675</v>
      </c>
      <c r="C79" s="52">
        <f>100*[8]Cartera_Riesgosa!C79/[8]Cartera_Bruta!C117</f>
        <v>10.194139279328972</v>
      </c>
      <c r="D79" s="53">
        <f>100*[8]Cartera_Riesgosa!D79/[8]Cartera_Bruta!D117</f>
        <v>7.6558994116131025</v>
      </c>
      <c r="E79" s="53">
        <f>100*[8]Cartera_Riesgosa!E79/[8]Cartera_Bruta!F117</f>
        <v>8.8183983095864384</v>
      </c>
      <c r="F79" s="54">
        <f>+[8]Cartera_Riesgosa!F79*100/[8]Cartera_Bruta!G117</f>
        <v>7.1277104804725475</v>
      </c>
      <c r="G79" s="55"/>
    </row>
    <row r="80" spans="1:7" x14ac:dyDescent="0.3">
      <c r="A80" s="43">
        <v>39569</v>
      </c>
      <c r="B80" s="52">
        <f>100*[8]Cartera_Riesgosa!B80/[8]Cartera_Bruta!B118</f>
        <v>5.688662169408996</v>
      </c>
      <c r="C80" s="52">
        <f>100*[8]Cartera_Riesgosa!C80/[8]Cartera_Bruta!C118</f>
        <v>10.539641581634735</v>
      </c>
      <c r="D80" s="53">
        <f>100*[8]Cartera_Riesgosa!D80/[8]Cartera_Bruta!D118</f>
        <v>8.1157079642853454</v>
      </c>
      <c r="E80" s="53">
        <f>100*[8]Cartera_Riesgosa!E80/[8]Cartera_Bruta!F118</f>
        <v>8.7016122980923889</v>
      </c>
      <c r="F80" s="54">
        <f>+[8]Cartera_Riesgosa!F80*100/[8]Cartera_Bruta!G118</f>
        <v>7.3667106647697169</v>
      </c>
      <c r="G80" s="55"/>
    </row>
    <row r="81" spans="1:7" x14ac:dyDescent="0.3">
      <c r="A81" s="43">
        <v>39600</v>
      </c>
      <c r="B81" s="52">
        <f>100*[8]Cartera_Riesgosa!B81/[8]Cartera_Bruta!B119</f>
        <v>6.135378459955267</v>
      </c>
      <c r="C81" s="52">
        <f>100*[8]Cartera_Riesgosa!C81/[8]Cartera_Bruta!C119</f>
        <v>10.016756566355783</v>
      </c>
      <c r="D81" s="53">
        <f>100*[8]Cartera_Riesgosa!D81/[8]Cartera_Bruta!D119</f>
        <v>7.8938519796271347</v>
      </c>
      <c r="E81" s="53">
        <f>100*[8]Cartera_Riesgosa!E81/[8]Cartera_Bruta!F119</f>
        <v>8.4655182779950664</v>
      </c>
      <c r="F81" s="54">
        <f>+[8]Cartera_Riesgosa!F81*100/[8]Cartera_Bruta!G119</f>
        <v>7.4391026466568757</v>
      </c>
      <c r="G81" s="55"/>
    </row>
    <row r="82" spans="1:7" x14ac:dyDescent="0.3">
      <c r="A82" s="43">
        <v>39630</v>
      </c>
      <c r="B82" s="52">
        <f>100*[8]Cartera_Riesgosa!B82/[8]Cartera_Bruta!B120</f>
        <v>7.2840531536766235</v>
      </c>
      <c r="C82" s="52">
        <f>100*[8]Cartera_Riesgosa!C82/[8]Cartera_Bruta!C120</f>
        <v>10.473637127117982</v>
      </c>
      <c r="D82" s="53">
        <f>100*[8]Cartera_Riesgosa!D82/[8]Cartera_Bruta!D120</f>
        <v>8.6910590341979113</v>
      </c>
      <c r="E82" s="53">
        <f>100*[8]Cartera_Riesgosa!E82/[8]Cartera_Bruta!F120</f>
        <v>8.0518987293234794</v>
      </c>
      <c r="F82" s="54">
        <f>+[8]Cartera_Riesgosa!F82*100/[8]Cartera_Bruta!G120</f>
        <v>8.3357727707491254</v>
      </c>
      <c r="G82" s="55"/>
    </row>
    <row r="83" spans="1:7" x14ac:dyDescent="0.3">
      <c r="A83" s="43">
        <v>39661</v>
      </c>
      <c r="B83" s="52">
        <f>100*[8]Cartera_Riesgosa!B83/[8]Cartera_Bruta!B121</f>
        <v>7.4556224764804799</v>
      </c>
      <c r="C83" s="52">
        <f>100*[8]Cartera_Riesgosa!C83/[8]Cartera_Bruta!C121</f>
        <v>11.467941564983784</v>
      </c>
      <c r="D83" s="53">
        <f>100*[8]Cartera_Riesgosa!D83/[8]Cartera_Bruta!D121</f>
        <v>8.2180998427265664</v>
      </c>
      <c r="E83" s="53">
        <f>100*[8]Cartera_Riesgosa!E83/[8]Cartera_Bruta!F121</f>
        <v>8.4237112883819556</v>
      </c>
      <c r="F83" s="54">
        <f>+[8]Cartera_Riesgosa!F83*100/[8]Cartera_Bruta!G121</f>
        <v>8.6847317655524492</v>
      </c>
      <c r="G83" s="55"/>
    </row>
    <row r="84" spans="1:7" x14ac:dyDescent="0.3">
      <c r="A84" s="43">
        <v>39692</v>
      </c>
      <c r="B84" s="52">
        <f>100*[8]Cartera_Riesgosa!B84/[8]Cartera_Bruta!B122</f>
        <v>7.3243320425783107</v>
      </c>
      <c r="C84" s="52">
        <f>100*[8]Cartera_Riesgosa!C84/[8]Cartera_Bruta!C122</f>
        <v>11.17745969442989</v>
      </c>
      <c r="D84" s="53">
        <f>100*[8]Cartera_Riesgosa!D84/[8]Cartera_Bruta!D122</f>
        <v>8.1544782507927405</v>
      </c>
      <c r="E84" s="53">
        <f>100*[8]Cartera_Riesgosa!E84/[8]Cartera_Bruta!F122</f>
        <v>8.5020893975915541</v>
      </c>
      <c r="F84" s="54">
        <f>+[8]Cartera_Riesgosa!F84*100/[8]Cartera_Bruta!G122</f>
        <v>8.5040616142051793</v>
      </c>
      <c r="G84" s="55"/>
    </row>
    <row r="85" spans="1:7" x14ac:dyDescent="0.3">
      <c r="A85" s="43">
        <v>39722</v>
      </c>
      <c r="B85" s="52">
        <f>100*[8]Cartera_Riesgosa!B85/[8]Cartera_Bruta!B123</f>
        <v>7.5534269553044391</v>
      </c>
      <c r="C85" s="52">
        <f>100*[8]Cartera_Riesgosa!C85/[8]Cartera_Bruta!C123</f>
        <v>11.332704360640172</v>
      </c>
      <c r="D85" s="53">
        <f>100*[8]Cartera_Riesgosa!D85/[8]Cartera_Bruta!D123</f>
        <v>8.1282733443560353</v>
      </c>
      <c r="E85" s="53">
        <f>100*[8]Cartera_Riesgosa!E85/[8]Cartera_Bruta!F123</f>
        <v>7.9951794227510948</v>
      </c>
      <c r="F85" s="54">
        <f>+[8]Cartera_Riesgosa!F85*100/[8]Cartera_Bruta!G123</f>
        <v>8.6645847246032091</v>
      </c>
      <c r="G85" s="55"/>
    </row>
    <row r="86" spans="1:7" x14ac:dyDescent="0.3">
      <c r="A86" s="43">
        <v>39753</v>
      </c>
      <c r="B86" s="52">
        <f>100*[8]Cartera_Riesgosa!B86/[8]Cartera_Bruta!B124</f>
        <v>8.0218380528232753</v>
      </c>
      <c r="C86" s="52">
        <f>100*[8]Cartera_Riesgosa!C86/[8]Cartera_Bruta!C124</f>
        <v>12.007381058903171</v>
      </c>
      <c r="D86" s="53">
        <f>100*[8]Cartera_Riesgosa!D86/[8]Cartera_Bruta!D124</f>
        <v>8.54733991782952</v>
      </c>
      <c r="E86" s="53">
        <f>100*[8]Cartera_Riesgosa!E86/[8]Cartera_Bruta!F124</f>
        <v>8.187625495495519</v>
      </c>
      <c r="F86" s="54">
        <f>+[8]Cartera_Riesgosa!F86*100/[8]Cartera_Bruta!G124</f>
        <v>9.169345336331638</v>
      </c>
      <c r="G86" s="55"/>
    </row>
    <row r="87" spans="1:7" x14ac:dyDescent="0.3">
      <c r="A87" s="43">
        <v>39783</v>
      </c>
      <c r="B87" s="52">
        <f>100*[8]Cartera_Riesgosa!B87/[8]Cartera_Bruta!B125</f>
        <v>7.7424153527813671</v>
      </c>
      <c r="C87" s="52">
        <f>100*[8]Cartera_Riesgosa!C87/[8]Cartera_Bruta!C125</f>
        <v>11.616679883795019</v>
      </c>
      <c r="D87" s="53">
        <f>100*[8]Cartera_Riesgosa!D87/[8]Cartera_Bruta!D125</f>
        <v>8.7667574820239746</v>
      </c>
      <c r="E87" s="53">
        <f>100*[8]Cartera_Riesgosa!E87/[8]Cartera_Bruta!F125</f>
        <v>7.451512131203117</v>
      </c>
      <c r="F87" s="54">
        <f>+[8]Cartera_Riesgosa!F87*100/[8]Cartera_Bruta!G125</f>
        <v>8.8950899001130299</v>
      </c>
      <c r="G87" s="55"/>
    </row>
    <row r="88" spans="1:7" x14ac:dyDescent="0.3">
      <c r="A88" s="43">
        <v>39814</v>
      </c>
      <c r="B88" s="52">
        <f>100*[8]Cartera_Riesgosa!B88/[8]Cartera_Bruta!B126</f>
        <v>7.8827292679228833</v>
      </c>
      <c r="C88" s="52">
        <f>100*[8]Cartera_Riesgosa!C88/[8]Cartera_Bruta!C126</f>
        <v>12.111842091243696</v>
      </c>
      <c r="D88" s="53">
        <f>100*[8]Cartera_Riesgosa!D88/[8]Cartera_Bruta!D126</f>
        <v>9.1104230701261528</v>
      </c>
      <c r="E88" s="53">
        <f>100*[8]Cartera_Riesgosa!E88/[8]Cartera_Bruta!F126</f>
        <v>7.9607145502587944</v>
      </c>
      <c r="F88" s="54">
        <f>+[8]Cartera_Riesgosa!F88*100/[8]Cartera_Bruta!G126</f>
        <v>9.1533156233568764</v>
      </c>
      <c r="G88" s="55"/>
    </row>
    <row r="89" spans="1:7" x14ac:dyDescent="0.3">
      <c r="A89" s="43">
        <v>39845</v>
      </c>
      <c r="B89" s="52">
        <f>100*[8]Cartera_Riesgosa!B89/[8]Cartera_Bruta!B127</f>
        <v>7.9688131151593833</v>
      </c>
      <c r="C89" s="52">
        <f>100*[8]Cartera_Riesgosa!C89/[8]Cartera_Bruta!C127</f>
        <v>12.563321026941265</v>
      </c>
      <c r="D89" s="53">
        <f>100*[8]Cartera_Riesgosa!D89/[8]Cartera_Bruta!D127</f>
        <v>9.053848469016204</v>
      </c>
      <c r="E89" s="53">
        <f>100*[8]Cartera_Riesgosa!E89/[8]Cartera_Bruta!F127</f>
        <v>8.2573403215852359</v>
      </c>
      <c r="F89" s="54">
        <f>+[8]Cartera_Riesgosa!F89*100/[8]Cartera_Bruta!G127</f>
        <v>9.3251174357844135</v>
      </c>
      <c r="G89" s="55"/>
    </row>
    <row r="90" spans="1:7" x14ac:dyDescent="0.3">
      <c r="A90" s="43">
        <v>39873</v>
      </c>
      <c r="B90" s="52">
        <f>100*[8]Cartera_Riesgosa!B90/[8]Cartera_Bruta!B128</f>
        <v>8.2396350344655289</v>
      </c>
      <c r="C90" s="52">
        <f>100*[8]Cartera_Riesgosa!C90/[8]Cartera_Bruta!C128</f>
        <v>12.68353511064851</v>
      </c>
      <c r="D90" s="53">
        <f>100*[8]Cartera_Riesgosa!D90/[8]Cartera_Bruta!D128</f>
        <v>9.5606288066048553</v>
      </c>
      <c r="E90" s="53">
        <f>100*[8]Cartera_Riesgosa!E90/[8]Cartera_Bruta!F128</f>
        <v>8.1525750333747116</v>
      </c>
      <c r="F90" s="54">
        <f>+[8]Cartera_Riesgosa!F90*100/[8]Cartera_Bruta!G128</f>
        <v>9.5590048679082251</v>
      </c>
      <c r="G90" s="55"/>
    </row>
    <row r="91" spans="1:7" x14ac:dyDescent="0.3">
      <c r="A91" s="43">
        <v>39904</v>
      </c>
      <c r="B91" s="52">
        <f>100*[8]Cartera_Riesgosa!B91/[8]Cartera_Bruta!B129</f>
        <v>8.3762791947213895</v>
      </c>
      <c r="C91" s="52">
        <f>100*[8]Cartera_Riesgosa!C91/[8]Cartera_Bruta!C129</f>
        <v>12.938518371328117</v>
      </c>
      <c r="D91" s="53">
        <f>100*[8]Cartera_Riesgosa!D91/[8]Cartera_Bruta!D129</f>
        <v>9.3464058508135661</v>
      </c>
      <c r="E91" s="53">
        <f>100*[8]Cartera_Riesgosa!E91/[8]Cartera_Bruta!F129</f>
        <v>8.4669550867517422</v>
      </c>
      <c r="F91" s="54">
        <f>+[8]Cartera_Riesgosa!F91*100/[8]Cartera_Bruta!G129</f>
        <v>9.698710107163004</v>
      </c>
      <c r="G91" s="55"/>
    </row>
    <row r="92" spans="1:7" x14ac:dyDescent="0.3">
      <c r="A92" s="43">
        <v>39934</v>
      </c>
      <c r="B92" s="52">
        <f>100*[8]Cartera_Riesgosa!B92/[8]Cartera_Bruta!B130</f>
        <v>8.5400302471330196</v>
      </c>
      <c r="C92" s="52">
        <f>100*[8]Cartera_Riesgosa!C92/[8]Cartera_Bruta!C130</f>
        <v>13.214562174771373</v>
      </c>
      <c r="D92" s="53">
        <f>100*[8]Cartera_Riesgosa!D92/[8]Cartera_Bruta!D130</f>
        <v>10.123201870198285</v>
      </c>
      <c r="E92" s="53">
        <f>100*[8]Cartera_Riesgosa!E92/[8]Cartera_Bruta!F130</f>
        <v>8.6930380647754717</v>
      </c>
      <c r="F92" s="54">
        <f>+[8]Cartera_Riesgosa!F92*100/[8]Cartera_Bruta!G130</f>
        <v>9.9209793416048502</v>
      </c>
      <c r="G92" s="55"/>
    </row>
    <row r="93" spans="1:7" x14ac:dyDescent="0.3">
      <c r="A93" s="43">
        <v>39965</v>
      </c>
      <c r="B93" s="52">
        <f>100*[8]Cartera_Riesgosa!B93/[8]Cartera_Bruta!B131</f>
        <v>8.2845046793853481</v>
      </c>
      <c r="C93" s="52">
        <f>100*[8]Cartera_Riesgosa!C93/[8]Cartera_Bruta!C131</f>
        <v>12.93079831106061</v>
      </c>
      <c r="D93" s="53">
        <f>100*[8]Cartera_Riesgosa!D93/[8]Cartera_Bruta!D131</f>
        <v>10.047237792897587</v>
      </c>
      <c r="E93" s="53">
        <f>100*[8]Cartera_Riesgosa!E93/[8]Cartera_Bruta!F131</f>
        <v>8.6961102206959637</v>
      </c>
      <c r="F93" s="54">
        <f>+[8]Cartera_Riesgosa!F93*100/[8]Cartera_Bruta!G131</f>
        <v>9.6765572167412124</v>
      </c>
      <c r="G93" s="55"/>
    </row>
    <row r="94" spans="1:7" x14ac:dyDescent="0.3">
      <c r="A94" s="43">
        <v>39995</v>
      </c>
      <c r="B94" s="52">
        <f>100*[8]Cartera_Riesgosa!B94/[8]Cartera_Bruta!B132</f>
        <v>8.3949476562143648</v>
      </c>
      <c r="C94" s="52">
        <f>100*[8]Cartera_Riesgosa!C94/[8]Cartera_Bruta!C132</f>
        <v>12.24453011697144</v>
      </c>
      <c r="D94" s="53">
        <f>100*[8]Cartera_Riesgosa!D94/[8]Cartera_Bruta!D132</f>
        <v>9.454316600401274</v>
      </c>
      <c r="E94" s="53">
        <f>100*[8]Cartera_Riesgosa!E94/[8]Cartera_Bruta!F132</f>
        <v>8.2759008864293087</v>
      </c>
      <c r="F94" s="54">
        <f>+[8]Cartera_Riesgosa!F94*100/[8]Cartera_Bruta!G132</f>
        <v>9.5101341515466959</v>
      </c>
      <c r="G94" s="55"/>
    </row>
    <row r="95" spans="1:7" x14ac:dyDescent="0.3">
      <c r="A95" s="43">
        <v>40026</v>
      </c>
      <c r="B95" s="52">
        <f>100*[8]Cartera_Riesgosa!B95/[8]Cartera_Bruta!B133</f>
        <v>8.5180393055952255</v>
      </c>
      <c r="C95" s="52">
        <f>100*[8]Cartera_Riesgosa!C95/[8]Cartera_Bruta!C133</f>
        <v>12.407077457131683</v>
      </c>
      <c r="D95" s="53">
        <f>100*[8]Cartera_Riesgosa!D95/[8]Cartera_Bruta!D133</f>
        <v>9.7641865209631611</v>
      </c>
      <c r="E95" s="53">
        <f>100*[8]Cartera_Riesgosa!E95/[8]Cartera_Bruta!F133</f>
        <v>8.5094384666912077</v>
      </c>
      <c r="F95" s="54">
        <f>+[8]Cartera_Riesgosa!F95*100/[8]Cartera_Bruta!G133</f>
        <v>9.6776807688895232</v>
      </c>
      <c r="G95" s="55"/>
    </row>
    <row r="96" spans="1:7" x14ac:dyDescent="0.3">
      <c r="A96" s="43">
        <v>40057</v>
      </c>
      <c r="B96" s="52">
        <f>100*[8]Cartera_Riesgosa!B96/[8]Cartera_Bruta!B134</f>
        <v>8.5718924979642015</v>
      </c>
      <c r="C96" s="52">
        <f>100*[8]Cartera_Riesgosa!C96/[8]Cartera_Bruta!C134</f>
        <v>11.877773638783008</v>
      </c>
      <c r="D96" s="53">
        <f>100*[8]Cartera_Riesgosa!D96/[8]Cartera_Bruta!D134</f>
        <v>9.1948762802918633</v>
      </c>
      <c r="E96" s="53">
        <f>100*[8]Cartera_Riesgosa!E96/[8]Cartera_Bruta!F134</f>
        <v>8.4040552916550268</v>
      </c>
      <c r="F96" s="54">
        <f>+[8]Cartera_Riesgosa!F96*100/[8]Cartera_Bruta!G134</f>
        <v>9.5202993490320438</v>
      </c>
      <c r="G96" s="55"/>
    </row>
    <row r="97" spans="1:10" x14ac:dyDescent="0.3">
      <c r="A97" s="43">
        <v>40087</v>
      </c>
      <c r="B97" s="52">
        <f>100*[8]Cartera_Riesgosa!B97/[8]Cartera_Bruta!B135</f>
        <v>8.7319458876046614</v>
      </c>
      <c r="C97" s="52">
        <f>100*[8]Cartera_Riesgosa!C97/[8]Cartera_Bruta!C135</f>
        <v>11.608593952541751</v>
      </c>
      <c r="D97" s="53">
        <f>100*[8]Cartera_Riesgosa!D97/[8]Cartera_Bruta!D135</f>
        <v>9.0660618808159104</v>
      </c>
      <c r="E97" s="53">
        <f>100*[8]Cartera_Riesgosa!E97/[8]Cartera_Bruta!F135</f>
        <v>8.4025700827501986</v>
      </c>
      <c r="F97" s="54">
        <f>+[8]Cartera_Riesgosa!F97*100/[8]Cartera_Bruta!G135</f>
        <v>9.536016756200338</v>
      </c>
      <c r="G97" s="55"/>
    </row>
    <row r="98" spans="1:10" x14ac:dyDescent="0.3">
      <c r="A98" s="43">
        <v>40118</v>
      </c>
      <c r="B98" s="52">
        <f>100*[8]Cartera_Riesgosa!B98/[8]Cartera_Bruta!B136</f>
        <v>8.9492880798821233</v>
      </c>
      <c r="C98" s="52">
        <f>100*[8]Cartera_Riesgosa!C98/[8]Cartera_Bruta!C136</f>
        <v>11.535471926123659</v>
      </c>
      <c r="D98" s="53">
        <f>100*[8]Cartera_Riesgosa!D98/[8]Cartera_Bruta!D136</f>
        <v>8.7221740508973049</v>
      </c>
      <c r="E98" s="53">
        <f>100*[8]Cartera_Riesgosa!E98/[8]Cartera_Bruta!F136</f>
        <v>7.8009773108072897</v>
      </c>
      <c r="F98" s="54">
        <f>+[8]Cartera_Riesgosa!F98*100/[8]Cartera_Bruta!G136</f>
        <v>9.6112619465874936</v>
      </c>
      <c r="G98" s="55"/>
    </row>
    <row r="99" spans="1:10" x14ac:dyDescent="0.3">
      <c r="A99" s="43">
        <v>40148</v>
      </c>
      <c r="B99" s="52">
        <f>100*[8]Cartera_Riesgosa!B99/[8]Cartera_Bruta!B137</f>
        <v>9.631310588099808</v>
      </c>
      <c r="C99" s="52">
        <f>100*[8]Cartera_Riesgosa!C99/[8]Cartera_Bruta!C137</f>
        <v>10.547992887570588</v>
      </c>
      <c r="D99" s="53">
        <f>100*[8]Cartera_Riesgosa!D99/[8]Cartera_Bruta!D137</f>
        <v>8.0672757645979196</v>
      </c>
      <c r="E99" s="53">
        <f>100*[8]Cartera_Riesgosa!E99/[8]Cartera_Bruta!F137</f>
        <v>7.6872406175538082</v>
      </c>
      <c r="F99" s="54">
        <f>+[8]Cartera_Riesgosa!F99*100/[8]Cartera_Bruta!G137</f>
        <v>9.6920731855333795</v>
      </c>
      <c r="G99" s="55"/>
      <c r="H99" s="55"/>
      <c r="J99" s="55"/>
    </row>
    <row r="100" spans="1:10" x14ac:dyDescent="0.3">
      <c r="A100" s="43">
        <v>40179</v>
      </c>
      <c r="B100" s="52">
        <f>100*[8]Cartera_Riesgosa!B100/[8]Cartera_Bruta!B138</f>
        <v>9.7983211811921542</v>
      </c>
      <c r="C100" s="52">
        <f>100*[8]Cartera_Riesgosa!C100/[8]Cartera_Bruta!C138</f>
        <v>10.753253218126186</v>
      </c>
      <c r="D100" s="53">
        <f>100*[8]Cartera_Riesgosa!D100/[8]Cartera_Bruta!D138</f>
        <v>7.919406431914271</v>
      </c>
      <c r="E100" s="53">
        <f>100*[8]Cartera_Riesgosa!E100/[8]Cartera_Bruta!F138</f>
        <v>8.1802701969349378</v>
      </c>
      <c r="F100" s="54">
        <f>+[8]Cartera_Riesgosa!F100*100/[8]Cartera_Bruta!G138</f>
        <v>9.8470376841910578</v>
      </c>
      <c r="G100" s="55"/>
    </row>
    <row r="101" spans="1:10" x14ac:dyDescent="0.3">
      <c r="A101" s="43">
        <v>40210</v>
      </c>
      <c r="B101" s="52">
        <f>100*[8]Cartera_Riesgosa!B101/[8]Cartera_Bruta!B139</f>
        <v>9.6902033297721015</v>
      </c>
      <c r="C101" s="52">
        <f>100*[8]Cartera_Riesgosa!C101/[8]Cartera_Bruta!C139</f>
        <v>11.040318663608458</v>
      </c>
      <c r="D101" s="53">
        <f>100*[8]Cartera_Riesgosa!D101/[8]Cartera_Bruta!D139</f>
        <v>7.6849682556398573</v>
      </c>
      <c r="E101" s="53">
        <f>100*[8]Cartera_Riesgosa!E101/[8]Cartera_Bruta!F139</f>
        <v>8.5010874759927937</v>
      </c>
      <c r="F101" s="54">
        <f>+[8]Cartera_Riesgosa!F101*100/[8]Cartera_Bruta!G139</f>
        <v>9.8462479087635852</v>
      </c>
      <c r="G101" s="55"/>
    </row>
    <row r="102" spans="1:10" x14ac:dyDescent="0.3">
      <c r="A102" s="43">
        <v>40238</v>
      </c>
      <c r="B102" s="52">
        <f>100*[8]Cartera_Riesgosa!B102/[8]Cartera_Bruta!B140</f>
        <v>9.9656372809079024</v>
      </c>
      <c r="C102" s="52">
        <f>100*[8]Cartera_Riesgosa!C102/[8]Cartera_Bruta!C140</f>
        <v>10.775295325918949</v>
      </c>
      <c r="D102" s="53">
        <f>100*[8]Cartera_Riesgosa!D102/[8]Cartera_Bruta!D140</f>
        <v>7.5256433093923025</v>
      </c>
      <c r="E102" s="53">
        <f>100*[8]Cartera_Riesgosa!E102/[8]Cartera_Bruta!F140</f>
        <v>8.4616052646812836</v>
      </c>
      <c r="F102" s="57">
        <f>+[8]Cartera_Riesgosa!F102*100/[8]Cartera_Bruta!G140</f>
        <v>9.9191455823069692</v>
      </c>
      <c r="G102" s="55"/>
    </row>
    <row r="103" spans="1:10" x14ac:dyDescent="0.3">
      <c r="A103" s="43">
        <v>40269</v>
      </c>
      <c r="B103" s="52">
        <f>100*[8]Cartera_Riesgosa!B103/[8]Cartera_Bruta!B141</f>
        <v>9.4257093579282003</v>
      </c>
      <c r="C103" s="52">
        <f>100*[8]Cartera_Riesgosa!C103/[8]Cartera_Bruta!C141</f>
        <v>10.430806846130464</v>
      </c>
      <c r="D103" s="53">
        <f>100*[8]Cartera_Riesgosa!D103/[8]Cartera_Bruta!D141</f>
        <v>7.6203021001507238</v>
      </c>
      <c r="E103" s="53">
        <f>100*[8]Cartera_Riesgosa!E103/[8]Cartera_Bruta!F141</f>
        <v>9.0876767160491667</v>
      </c>
      <c r="F103" s="54">
        <f>+[8]Cartera_Riesgosa!F103*100/[8]Cartera_Bruta!G141</f>
        <v>9.5255340172900684</v>
      </c>
      <c r="G103" s="55"/>
    </row>
    <row r="104" spans="1:10" x14ac:dyDescent="0.3">
      <c r="A104" s="43">
        <v>40299</v>
      </c>
      <c r="B104" s="52">
        <f>100*[8]Cartera_Riesgosa!B104/[8]Cartera_Bruta!B142</f>
        <v>9.1356716769865578</v>
      </c>
      <c r="C104" s="52">
        <f>100*[8]Cartera_Riesgosa!C104/[8]Cartera_Bruta!C142</f>
        <v>10.644658849483273</v>
      </c>
      <c r="D104" s="53">
        <f>100*[8]Cartera_Riesgosa!D104/[8]Cartera_Bruta!D142</f>
        <v>7.913972573678608</v>
      </c>
      <c r="E104" s="53">
        <f>100*[8]Cartera_Riesgosa!E104/[8]Cartera_Bruta!F142</f>
        <v>8.957580161330629</v>
      </c>
      <c r="F104" s="54">
        <f>+[8]Cartera_Riesgosa!F104*100/[8]Cartera_Bruta!G142</f>
        <v>9.4314700429105898</v>
      </c>
      <c r="G104" s="55"/>
    </row>
    <row r="105" spans="1:10" x14ac:dyDescent="0.3">
      <c r="A105" s="43">
        <v>40330</v>
      </c>
      <c r="B105" s="52">
        <f>100*[8]Cartera_Riesgosa!B105/[8]Cartera_Bruta!B143</f>
        <v>9.3423854930205774</v>
      </c>
      <c r="C105" s="52">
        <f>100*[8]Cartera_Riesgosa!C105/[8]Cartera_Bruta!C143</f>
        <v>9.8167360522014828</v>
      </c>
      <c r="D105" s="53">
        <f>100*[8]Cartera_Riesgosa!D105/[8]Cartera_Bruta!D143</f>
        <v>7.6974159775177311</v>
      </c>
      <c r="E105" s="53">
        <f>100*[8]Cartera_Riesgosa!E105/[8]Cartera_Bruta!F143</f>
        <v>8.7327947517789823</v>
      </c>
      <c r="F105" s="54">
        <f>+[8]Cartera_Riesgosa!F105*100/[8]Cartera_Bruta!G143</f>
        <v>9.3000428397720079</v>
      </c>
      <c r="G105" s="55"/>
      <c r="H105" s="55"/>
    </row>
    <row r="106" spans="1:10" x14ac:dyDescent="0.3">
      <c r="A106" s="43">
        <v>40360</v>
      </c>
      <c r="B106" s="52">
        <f>100*[8]Cartera_Riesgosa!B106/[8]Cartera_Bruta!B144</f>
        <v>9.1702050500746335</v>
      </c>
      <c r="C106" s="52">
        <f>100*[8]Cartera_Riesgosa!C106/[8]Cartera_Bruta!C144</f>
        <v>9.4979484402780994</v>
      </c>
      <c r="D106" s="53">
        <f>100*[8]Cartera_Riesgosa!D106/[8]Cartera_Bruta!D144</f>
        <v>7.8618996121891493</v>
      </c>
      <c r="E106" s="53">
        <f>100*[8]Cartera_Riesgosa!E106/[8]Cartera_Bruta!F144</f>
        <v>8.6505919740246782</v>
      </c>
      <c r="F106" s="54">
        <f>+[8]Cartera_Riesgosa!F106*100/[8]Cartera_Bruta!G144</f>
        <v>9.125165402294563</v>
      </c>
      <c r="G106" s="55"/>
    </row>
    <row r="107" spans="1:10" x14ac:dyDescent="0.3">
      <c r="A107" s="43">
        <v>40391</v>
      </c>
      <c r="B107" s="52">
        <f>100*[8]Cartera_Riesgosa!B107/[8]Cartera_Bruta!B145</f>
        <v>8.7250135700697058</v>
      </c>
      <c r="C107" s="52">
        <f>100*[8]Cartera_Riesgosa!C107/[8]Cartera_Bruta!C145</f>
        <v>9.1396875067398771</v>
      </c>
      <c r="D107" s="53">
        <f>100*[8]Cartera_Riesgosa!D107/[8]Cartera_Bruta!D145</f>
        <v>7.4898839311391407</v>
      </c>
      <c r="E107" s="53">
        <f>100*[8]Cartera_Riesgosa!E107/[8]Cartera_Bruta!F145</f>
        <v>8.3658144693238938</v>
      </c>
      <c r="F107" s="54">
        <f>+[8]Cartera_Riesgosa!F107*100/[8]Cartera_Bruta!G145</f>
        <v>8.7135321649934845</v>
      </c>
      <c r="G107" s="55"/>
    </row>
    <row r="108" spans="1:10" x14ac:dyDescent="0.3">
      <c r="A108" s="43">
        <v>40422</v>
      </c>
      <c r="B108" s="52">
        <f>100*[8]Cartera_Riesgosa!B108/[8]Cartera_Bruta!B146</f>
        <v>7.9637567151632132</v>
      </c>
      <c r="C108" s="52">
        <f>100*[8]Cartera_Riesgosa!C108/[8]Cartera_Bruta!C146</f>
        <v>8.7655262963993295</v>
      </c>
      <c r="D108" s="53">
        <f>100*[8]Cartera_Riesgosa!D108/[8]Cartera_Bruta!D146</f>
        <v>7.0350936168749554</v>
      </c>
      <c r="E108" s="53">
        <f>100*[8]Cartera_Riesgosa!E108/[8]Cartera_Bruta!F146</f>
        <v>8.1483039274665288</v>
      </c>
      <c r="F108" s="54">
        <f>+[8]Cartera_Riesgosa!F108*100/[8]Cartera_Bruta!G146</f>
        <v>8.0996371983143494</v>
      </c>
      <c r="G108" s="55"/>
    </row>
    <row r="109" spans="1:10" x14ac:dyDescent="0.3">
      <c r="A109" s="43">
        <v>40452</v>
      </c>
      <c r="B109" s="52">
        <f>100*[8]Cartera_Riesgosa!B109/[8]Cartera_Bruta!B147</f>
        <v>7.8579432265485298</v>
      </c>
      <c r="C109" s="52">
        <f>100*[8]Cartera_Riesgosa!C109/[8]Cartera_Bruta!C147</f>
        <v>8.7837718459008567</v>
      </c>
      <c r="D109" s="53">
        <f>100*[8]Cartera_Riesgosa!D109/[8]Cartera_Bruta!D147</f>
        <v>7.1562103119691542</v>
      </c>
      <c r="E109" s="53">
        <f>100*[8]Cartera_Riesgosa!E109/[8]Cartera_Bruta!F147</f>
        <v>7.9432182580309556</v>
      </c>
      <c r="F109" s="54">
        <f>+[8]Cartera_Riesgosa!F109*100/[8]Cartera_Bruta!G147</f>
        <v>8.0475254645988343</v>
      </c>
      <c r="G109" s="55"/>
    </row>
    <row r="110" spans="1:10" x14ac:dyDescent="0.3">
      <c r="A110" s="43">
        <v>40483</v>
      </c>
      <c r="B110" s="52">
        <f>100*[8]Cartera_Riesgosa!B110/[8]Cartera_Bruta!B148</f>
        <v>7.4907516885247771</v>
      </c>
      <c r="C110" s="52">
        <f>100*[8]Cartera_Riesgosa!C110/[8]Cartera_Bruta!C148</f>
        <v>8.4831263825992398</v>
      </c>
      <c r="D110" s="53">
        <f>100*[8]Cartera_Riesgosa!D110/[8]Cartera_Bruta!D148</f>
        <v>6.8708318892364204</v>
      </c>
      <c r="E110" s="53">
        <f>100*[8]Cartera_Riesgosa!E110/[8]Cartera_Bruta!F148</f>
        <v>7.7767549222137848</v>
      </c>
      <c r="F110" s="54">
        <f>+[8]Cartera_Riesgosa!F110*100/[8]Cartera_Bruta!G148</f>
        <v>7.7082961981466287</v>
      </c>
      <c r="G110" s="55"/>
    </row>
    <row r="111" spans="1:10" x14ac:dyDescent="0.3">
      <c r="A111" s="43">
        <v>40513</v>
      </c>
      <c r="B111" s="52">
        <f>100*[8]Cartera_Riesgosa!B111/[8]Cartera_Bruta!B149</f>
        <v>7.7036085748267356</v>
      </c>
      <c r="C111" s="52">
        <f>100*[8]Cartera_Riesgosa!C111/[8]Cartera_Bruta!C149</f>
        <v>7.7937869059702418</v>
      </c>
      <c r="D111" s="53">
        <f>100*[8]Cartera_Riesgosa!D111/[8]Cartera_Bruta!D149</f>
        <v>8.202400535215121</v>
      </c>
      <c r="E111" s="53">
        <f>100*[8]Cartera_Riesgosa!E111/[8]Cartera_Bruta!F149</f>
        <v>7.2056865070215164</v>
      </c>
      <c r="F111" s="54">
        <f>+[8]Cartera_Riesgosa!F111*100/[8]Cartera_Bruta!G149</f>
        <v>7.7567511275600003</v>
      </c>
      <c r="G111" s="55"/>
    </row>
    <row r="112" spans="1:10" x14ac:dyDescent="0.3">
      <c r="A112" s="43">
        <v>40544</v>
      </c>
      <c r="B112" s="52">
        <f>100*[8]Cartera_Riesgosa!B112/[8]Cartera_Bruta!B150</f>
        <v>7.8047451160969841</v>
      </c>
      <c r="C112" s="52">
        <f>100*[8]Cartera_Riesgosa!C112/[8]Cartera_Bruta!C150</f>
        <v>7.8703974851237524</v>
      </c>
      <c r="D112" s="53">
        <f>100*[8]Cartera_Riesgosa!D112/[8]Cartera_Bruta!D150</f>
        <v>7.847215258610631</v>
      </c>
      <c r="E112" s="53">
        <f>100*[8]Cartera_Riesgosa!E112/[8]Cartera_Bruta!F150</f>
        <v>7.3344555230146842</v>
      </c>
      <c r="F112" s="54">
        <f>+[8]Cartera_Riesgosa!F112*100/[8]Cartera_Bruta!G150</f>
        <v>7.8149066391459101</v>
      </c>
      <c r="G112" s="55"/>
    </row>
    <row r="113" spans="1:7" x14ac:dyDescent="0.3">
      <c r="A113" s="43">
        <v>40575</v>
      </c>
      <c r="B113" s="52">
        <f>100*[8]Cartera_Riesgosa!B113/[8]Cartera_Bruta!B151</f>
        <v>7.6949019260458593</v>
      </c>
      <c r="C113" s="52">
        <f>100*[8]Cartera_Riesgosa!C113/[8]Cartera_Bruta!C151</f>
        <v>8.2112897034905181</v>
      </c>
      <c r="D113" s="53">
        <f>100*[8]Cartera_Riesgosa!D113/[8]Cartera_Bruta!D151</f>
        <v>7.4285277259504969</v>
      </c>
      <c r="E113" s="53">
        <f>100*[8]Cartera_Riesgosa!E113/[8]Cartera_Bruta!F151</f>
        <v>7.2105981410178615</v>
      </c>
      <c r="F113" s="54">
        <f>+[8]Cartera_Riesgosa!F113*100/[8]Cartera_Bruta!G151</f>
        <v>7.8007474925872833</v>
      </c>
      <c r="G113" s="55"/>
    </row>
    <row r="114" spans="1:7" x14ac:dyDescent="0.3">
      <c r="A114" s="43">
        <v>40603</v>
      </c>
      <c r="B114" s="52">
        <f>100*[8]Cartera_Riesgosa!B114/[8]Cartera_Bruta!B152</f>
        <v>7.4120439829324409</v>
      </c>
      <c r="C114" s="52">
        <f>100*[8]Cartera_Riesgosa!C114/[8]Cartera_Bruta!C152</f>
        <v>8.084901433201205</v>
      </c>
      <c r="D114" s="53">
        <f>100*[8]Cartera_Riesgosa!D114/[8]Cartera_Bruta!D152</f>
        <v>7.1963522700912845</v>
      </c>
      <c r="E114" s="53">
        <f>100*[8]Cartera_Riesgosa!E114/[8]Cartera_Bruta!F152</f>
        <v>7.1862777285767869</v>
      </c>
      <c r="F114" s="54">
        <f>+[8]Cartera_Riesgosa!F114*100/[8]Cartera_Bruta!G152</f>
        <v>7.5715884297933673</v>
      </c>
      <c r="G114" s="55"/>
    </row>
    <row r="115" spans="1:7" x14ac:dyDescent="0.3">
      <c r="A115" s="43">
        <v>40634</v>
      </c>
      <c r="B115" s="52">
        <f>100*[8]Cartera_Riesgosa!B115/[8]Cartera_Bruta!B153</f>
        <v>7.1205118498187874</v>
      </c>
      <c r="C115" s="52">
        <f>100*[8]Cartera_Riesgosa!C115/[8]Cartera_Bruta!C153</f>
        <v>8.0902676299311853</v>
      </c>
      <c r="D115" s="53">
        <f>100*[8]Cartera_Riesgosa!D115/[8]Cartera_Bruta!D153</f>
        <v>7.0356463079737166</v>
      </c>
      <c r="E115" s="53">
        <f>100*[8]Cartera_Riesgosa!E115/[8]Cartera_Bruta!F153</f>
        <v>7.4394070676273181</v>
      </c>
      <c r="F115" s="54">
        <f>+[8]Cartera_Riesgosa!F115*100/[8]Cartera_Bruta!G153</f>
        <v>7.3885256163242214</v>
      </c>
      <c r="G115" s="55"/>
    </row>
    <row r="116" spans="1:7" x14ac:dyDescent="0.3">
      <c r="A116" s="43">
        <v>40664</v>
      </c>
      <c r="B116" s="52">
        <f>100*[8]Cartera_Riesgosa!B116/[8]Cartera_Bruta!B154</f>
        <v>7.1914004089050749</v>
      </c>
      <c r="C116" s="52">
        <f>100*[8]Cartera_Riesgosa!C116/[8]Cartera_Bruta!C154</f>
        <v>7.7407370274517797</v>
      </c>
      <c r="D116" s="53">
        <f>100*[8]Cartera_Riesgosa!D116/[8]Cartera_Bruta!D154</f>
        <v>6.9786376479650096</v>
      </c>
      <c r="E116" s="53">
        <f>100*[8]Cartera_Riesgosa!E116/[8]Cartera_Bruta!F154</f>
        <v>7.3587342273462886</v>
      </c>
      <c r="F116" s="54">
        <f>+[8]Cartera_Riesgosa!F116*100/[8]Cartera_Bruta!G154</f>
        <v>7.3291519268601073</v>
      </c>
      <c r="G116" s="55"/>
    </row>
    <row r="117" spans="1:7" x14ac:dyDescent="0.3">
      <c r="A117" s="43">
        <v>40695</v>
      </c>
      <c r="B117" s="52">
        <f>100*[8]Cartera_Riesgosa!B117/[8]Cartera_Bruta!B155</f>
        <v>7.3194748799835221</v>
      </c>
      <c r="C117" s="52">
        <f>100*[8]Cartera_Riesgosa!C117/[8]Cartera_Bruta!C155</f>
        <v>7.4746015306516176</v>
      </c>
      <c r="D117" s="53">
        <f>100*[8]Cartera_Riesgosa!D117/[8]Cartera_Bruta!D155</f>
        <v>6.3567104962168504</v>
      </c>
      <c r="E117" s="53">
        <f>100*[8]Cartera_Riesgosa!E117/[8]Cartera_Bruta!F155</f>
        <v>7.4175942105925738</v>
      </c>
      <c r="F117" s="54">
        <f>+[8]Cartera_Riesgosa!F117*100/[8]Cartera_Bruta!G155</f>
        <v>7.2809174413331093</v>
      </c>
      <c r="G117" s="55"/>
    </row>
    <row r="118" spans="1:7" x14ac:dyDescent="0.3">
      <c r="A118" s="43">
        <v>40725</v>
      </c>
      <c r="B118" s="52">
        <f>100*[8]Cartera_Riesgosa!B118/[8]Cartera_Bruta!B156</f>
        <v>7.1651258955598243</v>
      </c>
      <c r="C118" s="52">
        <f>100*[8]Cartera_Riesgosa!C118/[8]Cartera_Bruta!C156</f>
        <v>7.6288943753575804</v>
      </c>
      <c r="D118" s="53">
        <f>100*[8]Cartera_Riesgosa!D118/[8]Cartera_Bruta!D156</f>
        <v>6.2689205311646123</v>
      </c>
      <c r="E118" s="53">
        <f>100*[8]Cartera_Riesgosa!E118/[8]Cartera_Bruta!F156</f>
        <v>7.8566712987973739</v>
      </c>
      <c r="F118" s="54">
        <f>+[8]Cartera_Riesgosa!F118*100/[8]Cartera_Bruta!G156</f>
        <v>7.2337195606121503</v>
      </c>
      <c r="G118" s="55"/>
    </row>
    <row r="119" spans="1:7" x14ac:dyDescent="0.3">
      <c r="A119" s="43">
        <v>40756</v>
      </c>
      <c r="B119" s="52">
        <f>100*[8]Cartera_Riesgosa!B119/[8]Cartera_Bruta!B157</f>
        <v>6.9885242533317689</v>
      </c>
      <c r="C119" s="52">
        <f>100*[8]Cartera_Riesgosa!C119/[8]Cartera_Bruta!C157</f>
        <v>7.5889921874985573</v>
      </c>
      <c r="D119" s="53">
        <f>100*[8]Cartera_Riesgosa!D119/[8]Cartera_Bruta!D157</f>
        <v>5.9634251707885939</v>
      </c>
      <c r="E119" s="53">
        <f>100*[8]Cartera_Riesgosa!E119/[8]Cartera_Bruta!F157</f>
        <v>7.6090635315364663</v>
      </c>
      <c r="F119" s="54">
        <f>+[8]Cartera_Riesgosa!F119*100/[8]Cartera_Bruta!G157</f>
        <v>7.0809368001060742</v>
      </c>
      <c r="G119" s="55"/>
    </row>
    <row r="120" spans="1:7" x14ac:dyDescent="0.3">
      <c r="A120" s="43">
        <v>40787</v>
      </c>
      <c r="B120" s="52">
        <f>100*[8]Cartera_Riesgosa!B120/[8]Cartera_Bruta!B158</f>
        <v>6.7676575999758608</v>
      </c>
      <c r="C120" s="52">
        <f>100*[8]Cartera_Riesgosa!C120/[8]Cartera_Bruta!C158</f>
        <v>7.6275289916051783</v>
      </c>
      <c r="D120" s="53">
        <f>100*[8]Cartera_Riesgosa!D120/[8]Cartera_Bruta!D158</f>
        <v>5.6911546830785085</v>
      </c>
      <c r="E120" s="53">
        <f>100*[8]Cartera_Riesgosa!E120/[8]Cartera_Bruta!F158</f>
        <v>7.3088122866517899</v>
      </c>
      <c r="F120" s="54">
        <f>+[8]Cartera_Riesgosa!F120*100/[8]Cartera_Bruta!G158</f>
        <v>6.9257816947421684</v>
      </c>
      <c r="G120" s="55"/>
    </row>
    <row r="121" spans="1:7" x14ac:dyDescent="0.3">
      <c r="A121" s="43">
        <v>40817</v>
      </c>
      <c r="B121" s="52">
        <f>100*[8]Cartera_Riesgosa!B121/[8]Cartera_Bruta!B159</f>
        <v>6.6032864614092608</v>
      </c>
      <c r="C121" s="52">
        <f>100*[8]Cartera_Riesgosa!C121/[8]Cartera_Bruta!C159</f>
        <v>7.6496862047663612</v>
      </c>
      <c r="D121" s="53">
        <f>100*[8]Cartera_Riesgosa!D121/[8]Cartera_Bruta!D159</f>
        <v>5.771605106838277</v>
      </c>
      <c r="E121" s="53">
        <f>100*[8]Cartera_Riesgosa!E121/[8]Cartera_Bruta!F159</f>
        <v>7.2873055613228841</v>
      </c>
      <c r="F121" s="54">
        <f>+[8]Cartera_Riesgosa!F121*100/[8]Cartera_Bruta!G159</f>
        <v>6.839359291945688</v>
      </c>
      <c r="G121" s="55"/>
    </row>
    <row r="122" spans="1:7" x14ac:dyDescent="0.3">
      <c r="A122" s="43">
        <v>40848</v>
      </c>
      <c r="B122" s="52">
        <f>100*[8]Cartera_Riesgosa!B122/[8]Cartera_Bruta!B160</f>
        <v>6.5292484050951956</v>
      </c>
      <c r="C122" s="52">
        <f>100*[8]Cartera_Riesgosa!C122/[8]Cartera_Bruta!C160</f>
        <v>7.9347759313653281</v>
      </c>
      <c r="D122" s="53">
        <f>100*[8]Cartera_Riesgosa!D122/[8]Cartera_Bruta!D160</f>
        <v>5.7509130178600945</v>
      </c>
      <c r="E122" s="53">
        <f>100*[8]Cartera_Riesgosa!E122/[8]Cartera_Bruta!F160</f>
        <v>7.3348902338604871</v>
      </c>
      <c r="F122" s="54">
        <f>+[8]Cartera_Riesgosa!F122*100/[8]Cartera_Bruta!G160</f>
        <v>6.8723372553211215</v>
      </c>
      <c r="G122" s="55"/>
    </row>
    <row r="123" spans="1:7" x14ac:dyDescent="0.3">
      <c r="A123" s="43">
        <v>40878</v>
      </c>
      <c r="B123" s="52">
        <f>100*[8]Cartera_Riesgosa!B123/[8]Cartera_Bruta!B161</f>
        <v>6.6772454131771708</v>
      </c>
      <c r="C123" s="52">
        <f>100*[8]Cartera_Riesgosa!C123/[8]Cartera_Bruta!C161</f>
        <v>7.226413665171914</v>
      </c>
      <c r="D123" s="53">
        <f>100*[8]Cartera_Riesgosa!D123/[8]Cartera_Bruta!D161</f>
        <v>5.3700171323049037</v>
      </c>
      <c r="E123" s="53">
        <f>100*[8]Cartera_Riesgosa!E123/[8]Cartera_Bruta!F161</f>
        <v>6.9028287879228003</v>
      </c>
      <c r="F123" s="54">
        <f>+[8]Cartera_Riesgosa!F123*100/[8]Cartera_Bruta!G161</f>
        <v>6.7185832773677836</v>
      </c>
      <c r="G123" s="55"/>
    </row>
    <row r="124" spans="1:7" x14ac:dyDescent="0.3">
      <c r="A124" s="43">
        <v>40909</v>
      </c>
      <c r="B124" s="52">
        <f>100*[8]Cartera_Riesgosa!B124/[8]Cartera_Bruta!B162</f>
        <v>6.6850766204896859</v>
      </c>
      <c r="C124" s="52">
        <f>100*[8]Cartera_Riesgosa!C124/[8]Cartera_Bruta!C162</f>
        <v>7.502658331381407</v>
      </c>
      <c r="D124" s="53">
        <f>100*[8]Cartera_Riesgosa!D124/[8]Cartera_Bruta!D162</f>
        <v>5.4867549742410731</v>
      </c>
      <c r="E124" s="53">
        <f>100*[8]Cartera_Riesgosa!E124/[8]Cartera_Bruta!F162</f>
        <v>6.9815287469030451</v>
      </c>
      <c r="F124" s="54">
        <f>+[8]Cartera_Riesgosa!F124*100/[8]Cartera_Bruta!G162</f>
        <v>6.8132305653785377</v>
      </c>
      <c r="G124" s="55"/>
    </row>
    <row r="125" spans="1:7" x14ac:dyDescent="0.3">
      <c r="A125" s="43">
        <v>40940</v>
      </c>
      <c r="B125" s="52">
        <f>100*[8]Cartera_Riesgosa!B125/[8]Cartera_Bruta!B163</f>
        <v>6.5032337492001355</v>
      </c>
      <c r="C125" s="52">
        <f>100*[8]Cartera_Riesgosa!C125/[8]Cartera_Bruta!C163</f>
        <v>7.8324480026747194</v>
      </c>
      <c r="D125" s="53">
        <f>100*[8]Cartera_Riesgosa!D125/[8]Cartera_Bruta!D163</f>
        <v>5.3828550303623128</v>
      </c>
      <c r="E125" s="53">
        <f>100*[8]Cartera_Riesgosa!E125/[8]Cartera_Bruta!F163</f>
        <v>7.1519254833771928</v>
      </c>
      <c r="F125" s="54">
        <f>+[8]Cartera_Riesgosa!F125*100/[8]Cartera_Bruta!G163</f>
        <v>6.7956211577264174</v>
      </c>
      <c r="G125" s="55"/>
    </row>
    <row r="126" spans="1:7" x14ac:dyDescent="0.3">
      <c r="A126" s="43">
        <v>40969</v>
      </c>
      <c r="B126" s="52">
        <f>100*[8]Cartera_Riesgosa!B126/[8]Cartera_Bruta!B164</f>
        <v>6.8084852775887263</v>
      </c>
      <c r="C126" s="52">
        <f>100*[8]Cartera_Riesgosa!C126/[8]Cartera_Bruta!C164</f>
        <v>7.9674016312165179</v>
      </c>
      <c r="D126" s="53">
        <f>100*[8]Cartera_Riesgosa!D126/[8]Cartera_Bruta!D164</f>
        <v>5.3496160586131074</v>
      </c>
      <c r="E126" s="53">
        <f>100*[8]Cartera_Riesgosa!E126/[8]Cartera_Bruta!F164</f>
        <v>7.2184014451509944</v>
      </c>
      <c r="F126" s="54">
        <f>+[8]Cartera_Riesgosa!F126*100/[8]Cartera_Bruta!G164</f>
        <v>7.0139040218826247</v>
      </c>
      <c r="G126" s="55"/>
    </row>
    <row r="127" spans="1:7" x14ac:dyDescent="0.3">
      <c r="A127" s="43">
        <v>41000</v>
      </c>
      <c r="B127" s="52">
        <f>100*[8]Cartera_Riesgosa!B127/[8]Cartera_Bruta!B165</f>
        <v>6.5396095656188287</v>
      </c>
      <c r="C127" s="52">
        <f>100*[8]Cartera_Riesgosa!C127/[8]Cartera_Bruta!C165</f>
        <v>8.0055410272938143</v>
      </c>
      <c r="D127" s="53">
        <f>100*[8]Cartera_Riesgosa!D127/[8]Cartera_Bruta!D165</f>
        <v>5.2475662899855617</v>
      </c>
      <c r="E127" s="53">
        <f>100*[8]Cartera_Riesgosa!E127/[8]Cartera_Bruta!F165</f>
        <v>6.6580850524415904</v>
      </c>
      <c r="F127" s="54">
        <f>+[8]Cartera_Riesgosa!F127*100/[8]Cartera_Bruta!G165</f>
        <v>6.8398201131874536</v>
      </c>
      <c r="G127" s="55"/>
    </row>
    <row r="128" spans="1:7" x14ac:dyDescent="0.3">
      <c r="A128" s="43">
        <v>41030</v>
      </c>
      <c r="B128" s="52">
        <f>100*[8]Cartera_Riesgosa!B128/[8]Cartera_Bruta!B166</f>
        <v>6.4323023934267791</v>
      </c>
      <c r="C128" s="52">
        <f>100*[8]Cartera_Riesgosa!C128/[8]Cartera_Bruta!C166</f>
        <v>7.9553066081134718</v>
      </c>
      <c r="D128" s="53">
        <f>100*[8]Cartera_Riesgosa!D128/[8]Cartera_Bruta!D166</f>
        <v>5.2528318850353513</v>
      </c>
      <c r="E128" s="53">
        <f>100*[8]Cartera_Riesgosa!E128/[8]Cartera_Bruta!F166</f>
        <v>6.7263672496372413</v>
      </c>
      <c r="F128" s="54">
        <f>+[8]Cartera_Riesgosa!F128*100/[8]Cartera_Bruta!G166</f>
        <v>6.7656091788870976</v>
      </c>
      <c r="G128" s="55"/>
    </row>
    <row r="129" spans="1:7" x14ac:dyDescent="0.3">
      <c r="A129" s="43">
        <v>41061</v>
      </c>
      <c r="B129" s="52">
        <f>100*[8]Cartera_Riesgosa!B129/[8]Cartera_Bruta!B167</f>
        <v>6.7380818498457353</v>
      </c>
      <c r="C129" s="52">
        <f>100*[8]Cartera_Riesgosa!C129/[8]Cartera_Bruta!C167</f>
        <v>7.9030365457780443</v>
      </c>
      <c r="D129" s="53">
        <f>100*[8]Cartera_Riesgosa!D129/[8]Cartera_Bruta!D167</f>
        <v>5.1769628266939467</v>
      </c>
      <c r="E129" s="53">
        <f>100*[8]Cartera_Riesgosa!E129/[8]Cartera_Bruta!F167</f>
        <v>7.0279008057375396</v>
      </c>
      <c r="F129" s="54">
        <f>+[8]Cartera_Riesgosa!F129*100/[8]Cartera_Bruta!G167</f>
        <v>6.9323153123237455</v>
      </c>
      <c r="G129" s="55"/>
    </row>
    <row r="130" spans="1:7" x14ac:dyDescent="0.3">
      <c r="A130" s="43">
        <v>41091</v>
      </c>
      <c r="B130" s="52">
        <f>100*[8]Cartera_Riesgosa!B130/[8]Cartera_Bruta!B168</f>
        <v>6.6127653423550878</v>
      </c>
      <c r="C130" s="52">
        <f>100*[8]Cartera_Riesgosa!C130/[8]Cartera_Bruta!C168</f>
        <v>7.7453807115368098</v>
      </c>
      <c r="D130" s="53">
        <f>100*[8]Cartera_Riesgosa!D130/[8]Cartera_Bruta!D168</f>
        <v>5.2298752983467631</v>
      </c>
      <c r="E130" s="53">
        <f>100*[8]Cartera_Riesgosa!E130/[8]Cartera_Bruta!F168</f>
        <v>7.0798190481916379</v>
      </c>
      <c r="F130" s="54">
        <f>+[8]Cartera_Riesgosa!F130*100/[8]Cartera_Bruta!G168</f>
        <v>6.8232033310291369</v>
      </c>
      <c r="G130" s="55"/>
    </row>
    <row r="131" spans="1:7" x14ac:dyDescent="0.3">
      <c r="A131" s="43">
        <v>41122</v>
      </c>
      <c r="B131" s="52">
        <f>100*[8]Cartera_Riesgosa!B131/[8]Cartera_Bruta!B169</f>
        <v>6.5915353968250585</v>
      </c>
      <c r="C131" s="52">
        <f>100*[8]Cartera_Riesgosa!C131/[8]Cartera_Bruta!C169</f>
        <v>7.8257358131797981</v>
      </c>
      <c r="D131" s="53">
        <f>100*[8]Cartera_Riesgosa!D131/[8]Cartera_Bruta!D169</f>
        <v>5.1276976094291173</v>
      </c>
      <c r="E131" s="53">
        <f>100*[8]Cartera_Riesgosa!E131/[8]Cartera_Bruta!F169</f>
        <v>7.1069055026297194</v>
      </c>
      <c r="F131" s="54">
        <f>+[8]Cartera_Riesgosa!F131*100/[8]Cartera_Bruta!G169</f>
        <v>6.8266820076917458</v>
      </c>
      <c r="G131" s="55"/>
    </row>
    <row r="132" spans="1:7" x14ac:dyDescent="0.3">
      <c r="A132" s="43">
        <v>41153</v>
      </c>
      <c r="B132" s="52">
        <f>100*[8]Cartera_Riesgosa!B132/[8]Cartera_Bruta!B170</f>
        <v>6.1716230216383021</v>
      </c>
      <c r="C132" s="52">
        <f>100*[8]Cartera_Riesgosa!C132/[8]Cartera_Bruta!C170</f>
        <v>7.8408232337619559</v>
      </c>
      <c r="D132" s="53">
        <f>100*[8]Cartera_Riesgosa!D132/[8]Cartera_Bruta!D170</f>
        <v>5.0800866738583244</v>
      </c>
      <c r="E132" s="53">
        <f>100*[8]Cartera_Riesgosa!E132/[8]Cartera_Bruta!F170</f>
        <v>7.1886707752738763</v>
      </c>
      <c r="F132" s="54">
        <f>+[8]Cartera_Riesgosa!F132*100/[8]Cartera_Bruta!G170</f>
        <v>6.5796507930055146</v>
      </c>
      <c r="G132" s="55"/>
    </row>
    <row r="133" spans="1:7" x14ac:dyDescent="0.3">
      <c r="A133" s="43">
        <v>41183</v>
      </c>
      <c r="B133" s="52">
        <f>100*[8]Cartera_Riesgosa!B133/[8]Cartera_Bruta!B171</f>
        <v>6.2007759380471725</v>
      </c>
      <c r="C133" s="52">
        <f>100*[8]Cartera_Riesgosa!C133/[8]Cartera_Bruta!C171</f>
        <v>7.8047349479002319</v>
      </c>
      <c r="D133" s="53">
        <f>100*[8]Cartera_Riesgosa!D133/[8]Cartera_Bruta!D171</f>
        <v>5.103749637770238</v>
      </c>
      <c r="E133" s="53">
        <f>100*[8]Cartera_Riesgosa!E133/[8]Cartera_Bruta!F171</f>
        <v>7.4983240693102031</v>
      </c>
      <c r="F133" s="54">
        <f>+[8]Cartera_Riesgosa!F133*100/[8]Cartera_Bruta!G171</f>
        <v>6.596970737080281</v>
      </c>
      <c r="G133" s="55"/>
    </row>
    <row r="134" spans="1:7" x14ac:dyDescent="0.3">
      <c r="A134" s="43">
        <v>41214</v>
      </c>
      <c r="B134" s="52">
        <f>100*[8]Cartera_Riesgosa!B134/[8]Cartera_Bruta!B172</f>
        <v>5.9790625720567849</v>
      </c>
      <c r="C134" s="52">
        <f>100*[8]Cartera_Riesgosa!C134/[8]Cartera_Bruta!C172</f>
        <v>7.8130258695238517</v>
      </c>
      <c r="D134" s="53">
        <f>100*[8]Cartera_Riesgosa!D134/[8]Cartera_Bruta!D172</f>
        <v>4.8823726042224491</v>
      </c>
      <c r="E134" s="53">
        <f>100*[8]Cartera_Riesgosa!E134/[8]Cartera_Bruta!F172</f>
        <v>7.6281464993444033</v>
      </c>
      <c r="F134" s="54">
        <f>+[8]Cartera_Riesgosa!F134*100/[8]Cartera_Bruta!G172</f>
        <v>6.4475195288347606</v>
      </c>
      <c r="G134" s="55"/>
    </row>
    <row r="135" spans="1:7" x14ac:dyDescent="0.3">
      <c r="A135" s="43">
        <v>41244</v>
      </c>
      <c r="B135" s="52">
        <f>100*[8]Cartera_Riesgosa!B135/[8]Cartera_Bruta!B173</f>
        <v>6.2830871268736557</v>
      </c>
      <c r="C135" s="52">
        <f>100*[8]Cartera_Riesgosa!C135/[8]Cartera_Bruta!C173</f>
        <v>7.5144698080238825</v>
      </c>
      <c r="D135" s="53">
        <f>100*[8]Cartera_Riesgosa!D135/[8]Cartera_Bruta!D173</f>
        <v>5.0478370209097179</v>
      </c>
      <c r="E135" s="53">
        <f>100*[8]Cartera_Riesgosa!E135/[8]Cartera_Bruta!F173</f>
        <v>7.8332845581821369</v>
      </c>
      <c r="F135" s="54">
        <f>+[8]Cartera_Riesgosa!F135*100/[8]Cartera_Bruta!G173</f>
        <v>6.5598193790941943</v>
      </c>
      <c r="G135" s="55"/>
    </row>
    <row r="136" spans="1:7" x14ac:dyDescent="0.3">
      <c r="A136" s="43">
        <v>41275</v>
      </c>
      <c r="B136" s="52">
        <f>100*[8]Cartera_Riesgosa!B136/[8]Cartera_Bruta!B174</f>
        <v>6.5384707840006948</v>
      </c>
      <c r="C136" s="52">
        <f>100*[8]Cartera_Riesgosa!C136/[8]Cartera_Bruta!C174</f>
        <v>7.6204598699261528</v>
      </c>
      <c r="D136" s="53">
        <f>100*[8]Cartera_Riesgosa!D136/[8]Cartera_Bruta!D174</f>
        <v>5.1052081423133586</v>
      </c>
      <c r="E136" s="53">
        <f>100*[8]Cartera_Riesgosa!E136/[8]Cartera_Bruta!F174</f>
        <v>8.0475733089637274</v>
      </c>
      <c r="F136" s="54">
        <f>+[8]Cartera_Riesgosa!F136*100/[8]Cartera_Bruta!G174</f>
        <v>6.7521049612386532</v>
      </c>
      <c r="G136" s="55"/>
    </row>
    <row r="137" spans="1:7" x14ac:dyDescent="0.3">
      <c r="A137" s="43">
        <v>41306</v>
      </c>
      <c r="B137" s="52">
        <f>100*[8]Cartera_Riesgosa!B137/[8]Cartera_Bruta!B175</f>
        <v>6.6166243478321851</v>
      </c>
      <c r="C137" s="52">
        <f>100*[8]Cartera_Riesgosa!C137/[8]Cartera_Bruta!C175</f>
        <v>7.9386973290220162</v>
      </c>
      <c r="D137" s="53">
        <f>100*[8]Cartera_Riesgosa!D137/[8]Cartera_Bruta!D175</f>
        <v>4.8946343173201523</v>
      </c>
      <c r="E137" s="53">
        <f>100*[8]Cartera_Riesgosa!E137/[8]Cartera_Bruta!F175</f>
        <v>8.1691410018893134</v>
      </c>
      <c r="F137" s="54">
        <f>+[8]Cartera_Riesgosa!F137*100/[8]Cartera_Bruta!G175</f>
        <v>6.86986501828813</v>
      </c>
      <c r="G137" s="55"/>
    </row>
    <row r="138" spans="1:7" x14ac:dyDescent="0.3">
      <c r="A138" s="43">
        <v>41334</v>
      </c>
      <c r="B138" s="52">
        <f>100*[8]Cartera_Riesgosa!B138/[8]Cartera_Bruta!B176</f>
        <v>6.453635063024814</v>
      </c>
      <c r="C138" s="52">
        <f>100*[8]Cartera_Riesgosa!C138/[8]Cartera_Bruta!C176</f>
        <v>8.3290658937880142</v>
      </c>
      <c r="D138" s="53">
        <f>100*[8]Cartera_Riesgosa!D138/[8]Cartera_Bruta!D176</f>
        <v>4.9997685322812684</v>
      </c>
      <c r="E138" s="53">
        <f>100*[8]Cartera_Riesgosa!E138/[8]Cartera_Bruta!F176</f>
        <v>8.5172894597588584</v>
      </c>
      <c r="F138" s="54">
        <f>+[8]Cartera_Riesgosa!F138*100/[8]Cartera_Bruta!G176</f>
        <v>6.9036031950729555</v>
      </c>
      <c r="G138" s="55"/>
    </row>
    <row r="139" spans="1:7" x14ac:dyDescent="0.3">
      <c r="A139" s="43">
        <v>41365</v>
      </c>
      <c r="B139" s="52">
        <f>100*[8]Cartera_Riesgosa!B139/[8]Cartera_Bruta!B177</f>
        <v>6.3459565521983006</v>
      </c>
      <c r="C139" s="52">
        <f>100*[8]Cartera_Riesgosa!C139/[8]Cartera_Bruta!C177</f>
        <v>8.1031986522744308</v>
      </c>
      <c r="D139" s="53">
        <f>100*[8]Cartera_Riesgosa!D139/[8]Cartera_Bruta!D177</f>
        <v>5.0432006980725044</v>
      </c>
      <c r="E139" s="53">
        <f>100*[8]Cartera_Riesgosa!E139/[8]Cartera_Bruta!F177</f>
        <v>8.5608557349816614</v>
      </c>
      <c r="F139" s="54">
        <f>+[8]Cartera_Riesgosa!F139*100/[8]Cartera_Bruta!G177</f>
        <v>6.7799399719779698</v>
      </c>
      <c r="G139" s="55"/>
    </row>
    <row r="140" spans="1:7" x14ac:dyDescent="0.3">
      <c r="A140" s="43">
        <v>41395</v>
      </c>
      <c r="B140" s="52">
        <f>100*[8]Cartera_Riesgosa!B140/[8]Cartera_Bruta!B178</f>
        <v>6.3629761940389864</v>
      </c>
      <c r="C140" s="52">
        <f>100*[8]Cartera_Riesgosa!C140/[8]Cartera_Bruta!C178</f>
        <v>7.9275907692634044</v>
      </c>
      <c r="D140" s="53">
        <f>100*[8]Cartera_Riesgosa!D140/[8]Cartera_Bruta!D178</f>
        <v>4.860757054915239</v>
      </c>
      <c r="E140" s="53">
        <f>100*[8]Cartera_Riesgosa!E140/[8]Cartera_Bruta!F178</f>
        <v>8.5480107200999669</v>
      </c>
      <c r="F140" s="54">
        <f>+[8]Cartera_Riesgosa!F140*100/[8]Cartera_Bruta!G178</f>
        <v>6.7195440721166015</v>
      </c>
      <c r="G140" s="55"/>
    </row>
    <row r="141" spans="1:7" x14ac:dyDescent="0.3">
      <c r="A141" s="43">
        <v>41426</v>
      </c>
      <c r="B141" s="52">
        <f>100*[8]Cartera_Riesgosa!B141/[8]Cartera_Bruta!B179</f>
        <v>6.6188066032544617</v>
      </c>
      <c r="C141" s="52">
        <f>100*[8]Cartera_Riesgosa!C141/[8]Cartera_Bruta!C179</f>
        <v>7.9620992802300385</v>
      </c>
      <c r="D141" s="53">
        <f>100*[8]Cartera_Riesgosa!D141/[8]Cartera_Bruta!D179</f>
        <v>4.8563061529552813</v>
      </c>
      <c r="E141" s="53">
        <f>100*[8]Cartera_Riesgosa!E141/[8]Cartera_Bruta!F179</f>
        <v>9.3031286097529584</v>
      </c>
      <c r="F141" s="54">
        <f>+[8]Cartera_Riesgosa!F141*100/[8]Cartera_Bruta!G179</f>
        <v>6.8958760004447583</v>
      </c>
      <c r="G141" s="55"/>
    </row>
    <row r="142" spans="1:7" x14ac:dyDescent="0.3">
      <c r="A142" s="43">
        <v>41456</v>
      </c>
      <c r="B142" s="52">
        <f>100*[8]Cartera_Riesgosa!B142/[8]Cartera_Bruta!B180</f>
        <v>6.610388362463099</v>
      </c>
      <c r="C142" s="52">
        <f>100*[8]Cartera_Riesgosa!C142/[8]Cartera_Bruta!C180</f>
        <v>7.556002013216057</v>
      </c>
      <c r="D142" s="53">
        <f>100*[8]Cartera_Riesgosa!D142/[8]Cartera_Bruta!D180</f>
        <v>4.7120496516118893</v>
      </c>
      <c r="E142" s="53">
        <f>100*[8]Cartera_Riesgosa!E142/[8]Cartera_Bruta!F180</f>
        <v>9.3297931393521178</v>
      </c>
      <c r="F142" s="54">
        <f>+[8]Cartera_Riesgosa!F142*100/[8]Cartera_Bruta!G180</f>
        <v>6.7613472619501813</v>
      </c>
      <c r="G142" s="55"/>
    </row>
    <row r="143" spans="1:7" x14ac:dyDescent="0.3">
      <c r="A143" s="43">
        <v>41487</v>
      </c>
      <c r="B143" s="52">
        <f>100*[8]Cartera_Riesgosa!B143/[8]Cartera_Bruta!B181</f>
        <v>6.6832994365467515</v>
      </c>
      <c r="C143" s="52">
        <f>100*[8]Cartera_Riesgosa!C143/[8]Cartera_Bruta!C181</f>
        <v>7.5786161573980131</v>
      </c>
      <c r="D143" s="53">
        <f>100*[8]Cartera_Riesgosa!D143/[8]Cartera_Bruta!D181</f>
        <v>4.5996039063941359</v>
      </c>
      <c r="E143" s="53">
        <f>100*[8]Cartera_Riesgosa!E143/[8]Cartera_Bruta!F181</f>
        <v>9.6293482144888944</v>
      </c>
      <c r="F143" s="54">
        <f>+[8]Cartera_Riesgosa!F143*100/[8]Cartera_Bruta!G181</f>
        <v>6.8053590067105674</v>
      </c>
      <c r="G143" s="55"/>
    </row>
    <row r="144" spans="1:7" x14ac:dyDescent="0.3">
      <c r="A144" s="43">
        <v>41518</v>
      </c>
      <c r="B144" s="52">
        <f>100*[8]Cartera_Riesgosa!B144/[8]Cartera_Bruta!B182</f>
        <v>6.5696896383820205</v>
      </c>
      <c r="C144" s="52">
        <f>100*[8]Cartera_Riesgosa!C144/[8]Cartera_Bruta!C182</f>
        <v>7.539819964496381</v>
      </c>
      <c r="D144" s="53">
        <f>100*[8]Cartera_Riesgosa!D144/[8]Cartera_Bruta!D182</f>
        <v>4.499001250742249</v>
      </c>
      <c r="E144" s="53">
        <f>100*[8]Cartera_Riesgosa!E144/[8]Cartera_Bruta!F182</f>
        <v>9.7991715513977464</v>
      </c>
      <c r="F144" s="54">
        <f>+[8]Cartera_Riesgosa!F144*100/[8]Cartera_Bruta!G182</f>
        <v>6.7194939452356941</v>
      </c>
      <c r="G144" s="55"/>
    </row>
    <row r="145" spans="1:10" x14ac:dyDescent="0.3">
      <c r="A145" s="43">
        <v>41548</v>
      </c>
      <c r="B145" s="52">
        <f>100*[8]Cartera_Riesgosa!B145/[8]Cartera_Bruta!B183</f>
        <v>6.5509022138717006</v>
      </c>
      <c r="C145" s="52">
        <f>100*[8]Cartera_Riesgosa!C145/[8]Cartera_Bruta!C183</f>
        <v>7.4296110318647584</v>
      </c>
      <c r="D145" s="53">
        <f>100*[8]Cartera_Riesgosa!D145/[8]Cartera_Bruta!D183</f>
        <v>4.4028945879968031</v>
      </c>
      <c r="E145" s="53">
        <f>100*[8]Cartera_Riesgosa!E145/[8]Cartera_Bruta!F183</f>
        <v>9.8049621992900438</v>
      </c>
      <c r="F145" s="54">
        <f>+[8]Cartera_Riesgosa!F145*100/[8]Cartera_Bruta!G183</f>
        <v>6.6633022966352407</v>
      </c>
      <c r="G145" s="55"/>
    </row>
    <row r="146" spans="1:10" x14ac:dyDescent="0.3">
      <c r="A146" s="43">
        <v>41579</v>
      </c>
      <c r="B146" s="52">
        <f>100*[8]Cartera_Riesgosa!B146/[8]Cartera_Bruta!B184</f>
        <v>6.4993524162573468</v>
      </c>
      <c r="C146" s="52">
        <f>100*[8]Cartera_Riesgosa!C146/[8]Cartera_Bruta!C184</f>
        <v>7.5171056782124142</v>
      </c>
      <c r="D146" s="53">
        <f>100*[8]Cartera_Riesgosa!D146/[8]Cartera_Bruta!D184</f>
        <v>4.2973502166221529</v>
      </c>
      <c r="E146" s="53">
        <f>100*[8]Cartera_Riesgosa!E146/[8]Cartera_Bruta!F184</f>
        <v>9.7985221766851041</v>
      </c>
      <c r="F146" s="54">
        <f>+[8]Cartera_Riesgosa!F146*100/[8]Cartera_Bruta!G184</f>
        <v>6.642967624609752</v>
      </c>
      <c r="G146" s="55"/>
      <c r="J146" s="58"/>
    </row>
    <row r="147" spans="1:10" x14ac:dyDescent="0.3">
      <c r="A147" s="43">
        <v>41609</v>
      </c>
      <c r="B147" s="52">
        <f>100*[8]Cartera_Riesgosa!B147/[8]Cartera_Bruta!B185</f>
        <v>6.6217822685829804</v>
      </c>
      <c r="C147" s="52">
        <f>100*[8]Cartera_Riesgosa!C147/[8]Cartera_Bruta!C185</f>
        <v>7.0200569088335874</v>
      </c>
      <c r="D147" s="53">
        <f>100*[8]Cartera_Riesgosa!D147/[8]Cartera_Bruta!D185</f>
        <v>4.1538741777679773</v>
      </c>
      <c r="E147" s="53">
        <f>100*[8]Cartera_Riesgosa!E147/[8]Cartera_Bruta!F185</f>
        <v>10.803566654508872</v>
      </c>
      <c r="F147" s="54">
        <f>+[8]Cartera_Riesgosa!F147*100/[8]Cartera_Bruta!G185</f>
        <v>6.5856828716633053</v>
      </c>
      <c r="G147" s="55"/>
    </row>
    <row r="148" spans="1:10" x14ac:dyDescent="0.3">
      <c r="A148" s="43">
        <v>41640</v>
      </c>
      <c r="B148" s="52">
        <f>100*[8]Cartera_Riesgosa!B148/[8]Cartera_Bruta!B186</f>
        <v>6.6071882834481634</v>
      </c>
      <c r="C148" s="52">
        <f>100*[8]Cartera_Riesgosa!C148/[8]Cartera_Bruta!C186</f>
        <v>7.0546203505038179</v>
      </c>
      <c r="D148" s="53">
        <f>100*[8]Cartera_Riesgosa!D148/[8]Cartera_Bruta!D186</f>
        <v>4.1156585655860658</v>
      </c>
      <c r="E148" s="53">
        <f>100*[8]Cartera_Riesgosa!E148/[8]Cartera_Bruta!F186</f>
        <v>11.31944847556723</v>
      </c>
      <c r="F148" s="54">
        <f>+[8]Cartera_Riesgosa!F148*100/[8]Cartera_Bruta!G186</f>
        <v>6.5937451035806447</v>
      </c>
      <c r="G148" s="55"/>
    </row>
    <row r="149" spans="1:10" x14ac:dyDescent="0.3">
      <c r="A149" s="43">
        <v>41671</v>
      </c>
      <c r="B149" s="52">
        <f>100*[8]Cartera_Riesgosa!B149/[8]Cartera_Bruta!B187</f>
        <v>6.3390344368975198</v>
      </c>
      <c r="C149" s="52">
        <f>100*[8]Cartera_Riesgosa!C149/[8]Cartera_Bruta!C187</f>
        <v>7.2636791175186168</v>
      </c>
      <c r="D149" s="53">
        <f>100*[8]Cartera_Riesgosa!D149/[8]Cartera_Bruta!D187</f>
        <v>4.0101355834835033</v>
      </c>
      <c r="E149" s="53">
        <f>100*[8]Cartera_Riesgosa!E149/[8]Cartera_Bruta!F187</f>
        <v>11.513367733929968</v>
      </c>
      <c r="F149" s="54">
        <f>+[8]Cartera_Riesgosa!F149*100/[8]Cartera_Bruta!G187</f>
        <v>6.4859361136508191</v>
      </c>
      <c r="G149" s="55"/>
    </row>
    <row r="150" spans="1:10" x14ac:dyDescent="0.3">
      <c r="A150" s="43">
        <v>41699</v>
      </c>
      <c r="B150" s="52">
        <f>100*[8]Cartera_Riesgosa!B150/[8]Cartera_Bruta!B188</f>
        <v>6.5065687472318237</v>
      </c>
      <c r="C150" s="52">
        <f>100*[8]Cartera_Riesgosa!C150/[8]Cartera_Bruta!C188</f>
        <v>7.3936326681470748</v>
      </c>
      <c r="D150" s="53">
        <f>100*[8]Cartera_Riesgosa!D150/[8]Cartera_Bruta!D188</f>
        <v>4.086528055520148</v>
      </c>
      <c r="E150" s="53">
        <f>100*[8]Cartera_Riesgosa!E150/[8]Cartera_Bruta!F188</f>
        <v>11.367659417019377</v>
      </c>
      <c r="F150" s="54">
        <f>+[8]Cartera_Riesgosa!F150*100/[8]Cartera_Bruta!G188</f>
        <v>6.6214651096033261</v>
      </c>
      <c r="G150" s="55"/>
    </row>
    <row r="151" spans="1:10" x14ac:dyDescent="0.3">
      <c r="A151" s="43">
        <v>41730</v>
      </c>
      <c r="B151" s="52">
        <f>100*[8]Cartera_Riesgosa!B151/[8]Cartera_Bruta!B189</f>
        <v>6.3418568281056675</v>
      </c>
      <c r="C151" s="52">
        <f>100*[8]Cartera_Riesgosa!C151/[8]Cartera_Bruta!C189</f>
        <v>7.3324351783563868</v>
      </c>
      <c r="D151" s="53">
        <f>100*[8]Cartera_Riesgosa!D151/[8]Cartera_Bruta!D189</f>
        <v>4.1371380644116282</v>
      </c>
      <c r="E151" s="53">
        <f>100*[8]Cartera_Riesgosa!E151/[8]Cartera_Bruta!F189</f>
        <v>11.40825709050311</v>
      </c>
      <c r="F151" s="54">
        <f>+[8]Cartera_Riesgosa!F151*100/[8]Cartera_Bruta!G189</f>
        <v>6.5132601541180453</v>
      </c>
      <c r="G151" s="55"/>
    </row>
    <row r="152" spans="1:10" x14ac:dyDescent="0.3">
      <c r="A152" s="43">
        <v>41760</v>
      </c>
      <c r="B152" s="52">
        <f>100*[8]Cartera_Riesgosa!B152/[8]Cartera_Bruta!B190</f>
        <v>6.3304393006683179</v>
      </c>
      <c r="C152" s="52">
        <f>100*[8]Cartera_Riesgosa!C152/[8]Cartera_Bruta!C190</f>
        <v>7.3273585948948616</v>
      </c>
      <c r="D152" s="53">
        <f>100*[8]Cartera_Riesgosa!D152/[8]Cartera_Bruta!D190</f>
        <v>4.1659938327057091</v>
      </c>
      <c r="E152" s="53">
        <f>100*[8]Cartera_Riesgosa!E152/[8]Cartera_Bruta!F190</f>
        <v>11.415549225611047</v>
      </c>
      <c r="F152" s="54">
        <f>+[8]Cartera_Riesgosa!F152*100/[8]Cartera_Bruta!G190</f>
        <v>6.5058566384188481</v>
      </c>
      <c r="G152" s="55"/>
    </row>
    <row r="153" spans="1:10" x14ac:dyDescent="0.3">
      <c r="A153" s="43">
        <v>41791</v>
      </c>
      <c r="B153" s="52">
        <f>100*[8]Cartera_Riesgosa!B153/[8]Cartera_Bruta!B191</f>
        <v>6.4904993306901924</v>
      </c>
      <c r="C153" s="52">
        <f>100*[8]Cartera_Riesgosa!C153/[8]Cartera_Bruta!C191</f>
        <v>7.4623414592060522</v>
      </c>
      <c r="D153" s="53">
        <f>100*[8]Cartera_Riesgosa!D153/[8]Cartera_Bruta!D191</f>
        <v>4.2290458566331095</v>
      </c>
      <c r="E153" s="53">
        <f>100*[8]Cartera_Riesgosa!E153/[8]Cartera_Bruta!F191</f>
        <v>12.309582167542956</v>
      </c>
      <c r="F153" s="54">
        <f>+[8]Cartera_Riesgosa!F153*100/[8]Cartera_Bruta!G191</f>
        <v>6.6657368312761411</v>
      </c>
      <c r="G153" s="55"/>
    </row>
    <row r="154" spans="1:10" s="59" customFormat="1" x14ac:dyDescent="0.3">
      <c r="A154" s="43">
        <v>41821</v>
      </c>
      <c r="B154" s="52">
        <f>100*[8]Cartera_Riesgosa!B154/[8]Cartera_Bruta!B192</f>
        <v>6.5884936438087038</v>
      </c>
      <c r="C154" s="52">
        <f>100*[8]Cartera_Riesgosa!C154/[8]Cartera_Bruta!C192</f>
        <v>7.0257203161302408</v>
      </c>
      <c r="D154" s="53">
        <f>100*[8]Cartera_Riesgosa!D154/[8]Cartera_Bruta!D192</f>
        <v>4.1281475696187302</v>
      </c>
      <c r="E154" s="53">
        <f>100*[8]Cartera_Riesgosa!E154/[8]Cartera_Bruta!F192</f>
        <v>12.042027399708962</v>
      </c>
      <c r="F154" s="54">
        <f>+[8]Cartera_Riesgosa!F154*100/[8]Cartera_Bruta!G192</f>
        <v>6.5819682939681936</v>
      </c>
      <c r="G154" s="55"/>
    </row>
    <row r="155" spans="1:10" s="59" customFormat="1" x14ac:dyDescent="0.3">
      <c r="A155" s="43">
        <v>41852</v>
      </c>
      <c r="B155" s="52">
        <f>100*[8]Cartera_Riesgosa!B155/[8]Cartera_Bruta!B193</f>
        <v>6.5995972998166827</v>
      </c>
      <c r="C155" s="52">
        <f>100*[8]Cartera_Riesgosa!C155/[8]Cartera_Bruta!C193</f>
        <v>7.2751838411977996</v>
      </c>
      <c r="D155" s="53">
        <f>100*[8]Cartera_Riesgosa!D155/[8]Cartera_Bruta!D193</f>
        <v>4.2265707608917822</v>
      </c>
      <c r="E155" s="53">
        <f>100*[8]Cartera_Riesgosa!E155/[8]Cartera_Bruta!F193</f>
        <v>12.053878079846394</v>
      </c>
      <c r="F155" s="54">
        <f>+[8]Cartera_Riesgosa!F155*100/[8]Cartera_Bruta!G193</f>
        <v>6.667306021969682</v>
      </c>
      <c r="G155" s="55"/>
    </row>
    <row r="156" spans="1:10" s="59" customFormat="1" x14ac:dyDescent="0.3">
      <c r="A156" s="43">
        <v>41883</v>
      </c>
      <c r="B156" s="52">
        <f>100*[8]Cartera_Riesgosa!B156/[8]Cartera_Bruta!B194</f>
        <v>6.5756602456469233</v>
      </c>
      <c r="C156" s="52">
        <f>100*[8]Cartera_Riesgosa!C156/[8]Cartera_Bruta!C194</f>
        <v>7.2226177080035248</v>
      </c>
      <c r="D156" s="53">
        <f>100*[8]Cartera_Riesgosa!D156/[8]Cartera_Bruta!D194</f>
        <v>4.22215274985661</v>
      </c>
      <c r="E156" s="53">
        <f>100*[8]Cartera_Riesgosa!E156/[8]Cartera_Bruta!F194</f>
        <v>12.230299205410839</v>
      </c>
      <c r="F156" s="54">
        <f>+[8]Cartera_Riesgosa!F156*100/[8]Cartera_Bruta!G194</f>
        <v>6.6462046673590338</v>
      </c>
      <c r="G156" s="55"/>
    </row>
    <row r="157" spans="1:10" s="59" customFormat="1" x14ac:dyDescent="0.3">
      <c r="A157" s="43">
        <v>41913</v>
      </c>
      <c r="B157" s="52">
        <f>100*[8]Cartera_Riesgosa!B157/[8]Cartera_Bruta!B195</f>
        <v>6.5263757942610203</v>
      </c>
      <c r="C157" s="52">
        <f>100*[8]Cartera_Riesgosa!C157/[8]Cartera_Bruta!C195</f>
        <v>7.0890517432796054</v>
      </c>
      <c r="D157" s="53">
        <f>100*[8]Cartera_Riesgosa!D157/[8]Cartera_Bruta!D195</f>
        <v>4.1809833410657911</v>
      </c>
      <c r="E157" s="53">
        <f>100*[8]Cartera_Riesgosa!E157/[8]Cartera_Bruta!F195</f>
        <v>12.237142900165379</v>
      </c>
      <c r="F157" s="54">
        <f>+[8]Cartera_Riesgosa!F157*100/[8]Cartera_Bruta!G195</f>
        <v>6.5740110524801905</v>
      </c>
      <c r="G157" s="55"/>
    </row>
    <row r="158" spans="1:10" s="59" customFormat="1" x14ac:dyDescent="0.3">
      <c r="A158" s="43">
        <v>41944</v>
      </c>
      <c r="B158" s="52">
        <f>100*[8]Cartera_Riesgosa!B158/[8]Cartera_Bruta!B196</f>
        <v>6.3424066757610422</v>
      </c>
      <c r="C158" s="52">
        <f>100*[8]Cartera_Riesgosa!C158/[8]Cartera_Bruta!C196</f>
        <v>7.2219271250052843</v>
      </c>
      <c r="D158" s="53">
        <f>100*[8]Cartera_Riesgosa!D158/[8]Cartera_Bruta!D196</f>
        <v>4.3383910208911116</v>
      </c>
      <c r="E158" s="53">
        <f>100*[8]Cartera_Riesgosa!E158/[8]Cartera_Bruta!F196</f>
        <v>12.338939704284311</v>
      </c>
      <c r="F158" s="54">
        <f>+[8]Cartera_Riesgosa!F158*100/[8]Cartera_Bruta!G196</f>
        <v>6.5243493057133231</v>
      </c>
      <c r="G158" s="55"/>
    </row>
    <row r="159" spans="1:10" x14ac:dyDescent="0.3">
      <c r="A159" s="43">
        <v>41974</v>
      </c>
      <c r="B159" s="52">
        <f>100*[8]Cartera_Riesgosa!B159/[8]Cartera_Bruta!B197</f>
        <v>6.6516598036270072</v>
      </c>
      <c r="C159" s="52">
        <f>100*[8]Cartera_Riesgosa!C159/[8]Cartera_Bruta!C197</f>
        <v>6.8959602348392766</v>
      </c>
      <c r="D159" s="53">
        <f>100*[8]Cartera_Riesgosa!D159/[8]Cartera_Bruta!D197</f>
        <v>4.199970752333952</v>
      </c>
      <c r="E159" s="53">
        <f>100*[8]Cartera_Riesgosa!E159/[8]Cartera_Bruta!F197</f>
        <v>11.939780450501441</v>
      </c>
      <c r="F159" s="54">
        <f>+[8]Cartera_Riesgosa!F159*100/[8]Cartera_Bruta!G197</f>
        <v>6.5847115209949383</v>
      </c>
      <c r="G159" s="55"/>
    </row>
    <row r="160" spans="1:10" x14ac:dyDescent="0.3">
      <c r="A160" s="43">
        <v>42005</v>
      </c>
      <c r="B160" s="52">
        <f>100*[8]Cartera_Riesgosa!B160/[8]Cartera_Bruta!B198</f>
        <v>6.7571001830191531</v>
      </c>
      <c r="C160" s="52">
        <f>100*[8]Cartera_Riesgosa!C160/[8]Cartera_Bruta!C198</f>
        <v>7.0152722555540556</v>
      </c>
      <c r="D160" s="53">
        <f>100*[8]Cartera_Riesgosa!D160/[8]Cartera_Bruta!D198</f>
        <v>3.7293885334201362</v>
      </c>
      <c r="E160" s="53">
        <f>100*[8]Cartera_Riesgosa!E160/[8]Cartera_Bruta!F198</f>
        <v>11.84311227918209</v>
      </c>
      <c r="F160" s="54">
        <f>+[8]Cartera_Riesgosa!F160*100/[8]Cartera_Bruta!G198</f>
        <v>6.6206207502071388</v>
      </c>
      <c r="G160" s="55"/>
    </row>
    <row r="161" spans="1:7" x14ac:dyDescent="0.3">
      <c r="A161" s="43">
        <v>42036</v>
      </c>
      <c r="B161" s="52">
        <f>100*[8]Cartera_Riesgosa!B161/[8]Cartera_Bruta!B199</f>
        <v>6.6254611000157118</v>
      </c>
      <c r="C161" s="52">
        <f>100*[8]Cartera_Riesgosa!C161/[8]Cartera_Bruta!C199</f>
        <v>7.2014548587220624</v>
      </c>
      <c r="D161" s="53">
        <f>100*[8]Cartera_Riesgosa!D161/[8]Cartera_Bruta!D199</f>
        <v>3.597208931273749</v>
      </c>
      <c r="E161" s="53">
        <f>100*[8]Cartera_Riesgosa!E161/[8]Cartera_Bruta!F199</f>
        <v>10.742694388995735</v>
      </c>
      <c r="F161" s="54">
        <f>+[8]Cartera_Riesgosa!F161*100/[8]Cartera_Bruta!G199</f>
        <v>6.5578734754184378</v>
      </c>
      <c r="G161" s="55"/>
    </row>
    <row r="162" spans="1:7" x14ac:dyDescent="0.3">
      <c r="A162" s="43">
        <v>42064</v>
      </c>
      <c r="B162" s="52">
        <f>100*[8]Cartera_Riesgosa!B162/[8]Cartera_Bruta!B200</f>
        <v>6.5038056768709529</v>
      </c>
      <c r="C162" s="52">
        <f>100*[8]Cartera_Riesgosa!C162/[8]Cartera_Bruta!C200</f>
        <v>7.1900173055238801</v>
      </c>
      <c r="D162" s="53">
        <f>100*[8]Cartera_Riesgosa!D162/[8]Cartera_Bruta!D200</f>
        <v>3.5231705463679921</v>
      </c>
      <c r="E162" s="53">
        <f>100*[8]Cartera_Riesgosa!E162/[8]Cartera_Bruta!F200</f>
        <v>10.809100425102296</v>
      </c>
      <c r="F162" s="54">
        <f>+[8]Cartera_Riesgosa!F162*100/[8]Cartera_Bruta!G200</f>
        <v>6.4751650696178382</v>
      </c>
      <c r="G162" s="55"/>
    </row>
    <row r="163" spans="1:7" x14ac:dyDescent="0.3">
      <c r="A163" s="43">
        <v>42095</v>
      </c>
      <c r="B163" s="52">
        <f>100*[8]Cartera_Riesgosa!B163/[8]Cartera_Bruta!B201</f>
        <v>6.5368953714041318</v>
      </c>
      <c r="C163" s="52">
        <f>100*[8]Cartera_Riesgosa!C163/[8]Cartera_Bruta!C201</f>
        <v>7.3371681164572875</v>
      </c>
      <c r="D163" s="53">
        <f>100*[8]Cartera_Riesgosa!D163/[8]Cartera_Bruta!D201</f>
        <v>3.4994595073112222</v>
      </c>
      <c r="E163" s="53">
        <f>100*[8]Cartera_Riesgosa!E163/[8]Cartera_Bruta!F201</f>
        <v>10.484713740390658</v>
      </c>
      <c r="F163" s="54">
        <f>+[8]Cartera_Riesgosa!F163*100/[8]Cartera_Bruta!G201</f>
        <v>6.5193430597600619</v>
      </c>
      <c r="G163" s="55"/>
    </row>
    <row r="164" spans="1:7" x14ac:dyDescent="0.3">
      <c r="A164" s="43">
        <v>42125</v>
      </c>
      <c r="B164" s="52">
        <f>100*[8]Cartera_Riesgosa!B164/[8]Cartera_Bruta!B202</f>
        <v>6.3803550049901556</v>
      </c>
      <c r="C164" s="52">
        <f>100*[8]Cartera_Riesgosa!C164/[8]Cartera_Bruta!C202</f>
        <v>7.4860935289650534</v>
      </c>
      <c r="D164" s="53">
        <f>100*[8]Cartera_Riesgosa!D164/[8]Cartera_Bruta!D202</f>
        <v>3.7047159461889194</v>
      </c>
      <c r="E164" s="53">
        <f>100*[8]Cartera_Riesgosa!E164/[8]Cartera_Bruta!F202</f>
        <v>10.174696730494482</v>
      </c>
      <c r="F164" s="54">
        <f>+[8]Cartera_Riesgosa!F164*100/[8]Cartera_Bruta!G202</f>
        <v>6.4792672547702308</v>
      </c>
      <c r="G164" s="55"/>
    </row>
    <row r="165" spans="1:7" x14ac:dyDescent="0.3">
      <c r="A165" s="43">
        <v>42156</v>
      </c>
      <c r="B165" s="52">
        <f>100*[8]Cartera_Riesgosa!B165/[8]Cartera_Bruta!B203</f>
        <v>6.7455168273009267</v>
      </c>
      <c r="C165" s="52">
        <f>100*[8]Cartera_Riesgosa!C165/[8]Cartera_Bruta!C203</f>
        <v>7.4426507411970331</v>
      </c>
      <c r="D165" s="53">
        <f>100*[8]Cartera_Riesgosa!D165/[8]Cartera_Bruta!D203</f>
        <v>3.7865049308901133</v>
      </c>
      <c r="E165" s="53">
        <f>100*[8]Cartera_Riesgosa!E165/[8]Cartera_Bruta!F203</f>
        <v>10.706336549626357</v>
      </c>
      <c r="F165" s="54">
        <f>+[8]Cartera_Riesgosa!F165*100/[8]Cartera_Bruta!G203</f>
        <v>6.7096175546889745</v>
      </c>
      <c r="G165" s="55"/>
    </row>
    <row r="166" spans="1:7" x14ac:dyDescent="0.3">
      <c r="A166" s="43">
        <v>42186</v>
      </c>
      <c r="B166" s="52">
        <f>100*[8]Cartera_Riesgosa!B166/[8]Cartera_Bruta!B204</f>
        <v>6.5984416065711837</v>
      </c>
      <c r="C166" s="52">
        <f>100*[8]Cartera_Riesgosa!C166/[8]Cartera_Bruta!C204</f>
        <v>7.1424159532393912</v>
      </c>
      <c r="D166" s="53">
        <f>100*[8]Cartera_Riesgosa!D166/[8]Cartera_Bruta!D204</f>
        <v>3.6401779713665832</v>
      </c>
      <c r="E166" s="53">
        <f>100*[8]Cartera_Riesgosa!E166/[8]Cartera_Bruta!F204</f>
        <v>10.66912060065931</v>
      </c>
      <c r="F166" s="54">
        <f>+[8]Cartera_Riesgosa!F166*100/[8]Cartera_Bruta!G204</f>
        <v>6.5224504735928344</v>
      </c>
      <c r="G166" s="55"/>
    </row>
    <row r="167" spans="1:7" x14ac:dyDescent="0.3">
      <c r="A167" s="43">
        <v>42217</v>
      </c>
      <c r="B167" s="52">
        <f>100*[8]Cartera_Riesgosa!B167/[8]Cartera_Bruta!B205</f>
        <v>6.4372721113468963</v>
      </c>
      <c r="C167" s="52">
        <f>100*[8]Cartera_Riesgosa!C167/[8]Cartera_Bruta!C205</f>
        <v>7.1764590863902917</v>
      </c>
      <c r="D167" s="53">
        <f>100*[8]Cartera_Riesgosa!D167/[8]Cartera_Bruta!D205</f>
        <v>3.7025843373024974</v>
      </c>
      <c r="E167" s="53">
        <f>100*[8]Cartera_Riesgosa!E167/[8]Cartera_Bruta!F205</f>
        <v>10.592682775804906</v>
      </c>
      <c r="F167" s="54">
        <f>+[8]Cartera_Riesgosa!F167*100/[8]Cartera_Bruta!G205</f>
        <v>6.438438961932607</v>
      </c>
      <c r="G167" s="55"/>
    </row>
    <row r="168" spans="1:7" x14ac:dyDescent="0.3">
      <c r="A168" s="43">
        <v>42248</v>
      </c>
      <c r="B168" s="52">
        <f>100*[8]Cartera_Riesgosa!B168/[8]Cartera_Bruta!B206</f>
        <v>6.5505956051188745</v>
      </c>
      <c r="C168" s="52">
        <f>100*[8]Cartera_Riesgosa!C168/[8]Cartera_Bruta!C206</f>
        <v>7.0914416592329479</v>
      </c>
      <c r="D168" s="53">
        <f>100*[8]Cartera_Riesgosa!D168/[8]Cartera_Bruta!D206</f>
        <v>3.6911143310236318</v>
      </c>
      <c r="E168" s="53">
        <f>100*[8]Cartera_Riesgosa!E168/[8]Cartera_Bruta!F206</f>
        <v>10.443789779515312</v>
      </c>
      <c r="F168" s="54">
        <f>+[8]Cartera_Riesgosa!F168*100/[8]Cartera_Bruta!G206</f>
        <v>6.4747458976877033</v>
      </c>
      <c r="G168" s="55"/>
    </row>
    <row r="169" spans="1:7" x14ac:dyDescent="0.3">
      <c r="A169" s="43">
        <v>42278</v>
      </c>
      <c r="B169" s="52">
        <f>100*[8]Cartera_Riesgosa!B169/[8]Cartera_Bruta!B207</f>
        <v>6.6953647793047431</v>
      </c>
      <c r="C169" s="52">
        <f>100*[8]Cartera_Riesgosa!C169/[8]Cartera_Bruta!C207</f>
        <v>7.1193339798086059</v>
      </c>
      <c r="D169" s="53">
        <f>100*[8]Cartera_Riesgosa!D169/[8]Cartera_Bruta!D207</f>
        <v>3.7161898585733919</v>
      </c>
      <c r="E169" s="53">
        <f>100*[8]Cartera_Riesgosa!E169/[8]Cartera_Bruta!F207</f>
        <v>10.403895609659839</v>
      </c>
      <c r="F169" s="54">
        <f>+[8]Cartera_Riesgosa!F169*100/[8]Cartera_Bruta!G207</f>
        <v>6.5699301994564632</v>
      </c>
      <c r="G169" s="55"/>
    </row>
    <row r="170" spans="1:7" x14ac:dyDescent="0.3">
      <c r="A170" s="43">
        <v>42309</v>
      </c>
      <c r="B170" s="52">
        <f>100*[8]Cartera_Riesgosa!B170/[8]Cartera_Bruta!B208</f>
        <v>6.489147933811962</v>
      </c>
      <c r="C170" s="52">
        <f>100*[8]Cartera_Riesgosa!C170/[8]Cartera_Bruta!C208</f>
        <v>7.3099323490559751</v>
      </c>
      <c r="D170" s="53">
        <f>100*[8]Cartera_Riesgosa!D170/[8]Cartera_Bruta!D208</f>
        <v>3.7449640570042395</v>
      </c>
      <c r="E170" s="53">
        <f>100*[8]Cartera_Riesgosa!E170/[8]Cartera_Bruta!F208</f>
        <v>10.510103160282686</v>
      </c>
      <c r="F170" s="54">
        <f>+[8]Cartera_Riesgosa!F170*100/[8]Cartera_Bruta!G208</f>
        <v>6.5018634209553259</v>
      </c>
      <c r="G170" s="55"/>
    </row>
    <row r="171" spans="1:7" x14ac:dyDescent="0.3">
      <c r="A171" s="43">
        <v>42339</v>
      </c>
      <c r="B171" s="52">
        <f>100*[8]Cartera_Riesgosa!B171/[8]Cartera_Bruta!B209</f>
        <v>6.8777738117236336</v>
      </c>
      <c r="C171" s="52">
        <f>100*[8]Cartera_Riesgosa!C171/[8]Cartera_Bruta!C209</f>
        <v>7.0489684929229535</v>
      </c>
      <c r="D171" s="53">
        <f>100*[8]Cartera_Riesgosa!D171/[8]Cartera_Bruta!D209</f>
        <v>3.610434097903402</v>
      </c>
      <c r="E171" s="53">
        <f>100*[8]Cartera_Riesgosa!E171/[8]Cartera_Bruta!F209</f>
        <v>10.608892512377441</v>
      </c>
      <c r="F171" s="54">
        <f>+[8]Cartera_Riesgosa!F171*100/[8]Cartera_Bruta!G209</f>
        <v>6.6451001491349659</v>
      </c>
      <c r="G171" s="55"/>
    </row>
    <row r="172" spans="1:7" x14ac:dyDescent="0.3">
      <c r="A172" s="43">
        <v>42370</v>
      </c>
      <c r="B172" s="52">
        <f>100*[8]Cartera_Riesgosa!B172/[8]Cartera_Bruta!B210</f>
        <v>6.9573951678207662</v>
      </c>
      <c r="C172" s="52">
        <f>100*[8]Cartera_Riesgosa!C172/[8]Cartera_Bruta!C210</f>
        <v>7.1377075313406957</v>
      </c>
      <c r="D172" s="53">
        <f>100*[8]Cartera_Riesgosa!D172/[8]Cartera_Bruta!D210</f>
        <v>3.7560611488681266</v>
      </c>
      <c r="E172" s="53">
        <f>100*[8]Cartera_Riesgosa!E172/[8]Cartera_Bruta!F210</f>
        <v>10.830764461706682</v>
      </c>
      <c r="F172" s="54">
        <f>+[8]Cartera_Riesgosa!F172*100/[8]Cartera_Bruta!G210</f>
        <v>6.7363315911310986</v>
      </c>
      <c r="G172" s="55"/>
    </row>
    <row r="173" spans="1:7" x14ac:dyDescent="0.3">
      <c r="A173" s="43">
        <v>42401</v>
      </c>
      <c r="B173" s="52">
        <f>100*[8]Cartera_Riesgosa!B173/[8]Cartera_Bruta!B211</f>
        <v>6.8660749884924073</v>
      </c>
      <c r="C173" s="52">
        <f>100*[8]Cartera_Riesgosa!C173/[8]Cartera_Bruta!C211</f>
        <v>7.4070205062512322</v>
      </c>
      <c r="D173" s="53">
        <f>100*[8]Cartera_Riesgosa!D173/[8]Cartera_Bruta!D211</f>
        <v>3.669250716017173</v>
      </c>
      <c r="E173" s="53">
        <f>100*[8]Cartera_Riesgosa!E173/[8]Cartera_Bruta!F211</f>
        <v>10.806359757518106</v>
      </c>
      <c r="F173" s="54">
        <f>+[8]Cartera_Riesgosa!F173*100/[8]Cartera_Bruta!G211</f>
        <v>6.7460570351631812</v>
      </c>
      <c r="G173" s="55"/>
    </row>
    <row r="174" spans="1:7" x14ac:dyDescent="0.3">
      <c r="A174" s="43">
        <v>42430</v>
      </c>
      <c r="B174" s="52">
        <f>100*[8]Cartera_Riesgosa!B174/[8]Cartera_Bruta!B212</f>
        <v>7.0380230195088842</v>
      </c>
      <c r="C174" s="52">
        <f>100*[8]Cartera_Riesgosa!C174/[8]Cartera_Bruta!C212</f>
        <v>7.5618364699498697</v>
      </c>
      <c r="D174" s="53">
        <f>100*[8]Cartera_Riesgosa!D174/[8]Cartera_Bruta!D212</f>
        <v>3.7194209102280724</v>
      </c>
      <c r="E174" s="53">
        <f>100*[8]Cartera_Riesgosa!E174/[8]Cartera_Bruta!F212</f>
        <v>10.836268035857179</v>
      </c>
      <c r="F174" s="54">
        <f>+[8]Cartera_Riesgosa!F174*100/[8]Cartera_Bruta!G212</f>
        <v>6.8914682843780017</v>
      </c>
      <c r="G174" s="55"/>
    </row>
    <row r="175" spans="1:7" x14ac:dyDescent="0.3">
      <c r="A175" s="43">
        <v>42461</v>
      </c>
      <c r="B175" s="52">
        <f>100*[8]Cartera_Riesgosa!B175/[8]Cartera_Bruta!B213</f>
        <v>7.0777991664861126</v>
      </c>
      <c r="C175" s="52">
        <f>100*[8]Cartera_Riesgosa!C175/[8]Cartera_Bruta!C213</f>
        <v>7.5402830681051967</v>
      </c>
      <c r="D175" s="53">
        <f>100*[8]Cartera_Riesgosa!D175/[8]Cartera_Bruta!D213</f>
        <v>3.7825233699574667</v>
      </c>
      <c r="E175" s="53">
        <f>100*[8]Cartera_Riesgosa!E175/[8]Cartera_Bruta!F213</f>
        <v>10.832929125674937</v>
      </c>
      <c r="F175" s="54">
        <f>+[8]Cartera_Riesgosa!F175*100/[8]Cartera_Bruta!G213</f>
        <v>6.9142323416700728</v>
      </c>
      <c r="G175" s="55"/>
    </row>
    <row r="176" spans="1:7" x14ac:dyDescent="0.3">
      <c r="A176" s="43">
        <v>42491</v>
      </c>
      <c r="B176" s="52">
        <f>100*[8]Cartera_Riesgosa!B176/[8]Cartera_Bruta!B214</f>
        <v>7.2768214481305167</v>
      </c>
      <c r="C176" s="52">
        <f>100*[8]Cartera_Riesgosa!C176/[8]Cartera_Bruta!C214</f>
        <v>7.6992793576772112</v>
      </c>
      <c r="D176" s="53">
        <f>100*[8]Cartera_Riesgosa!D176/[8]Cartera_Bruta!D214</f>
        <v>3.921621375055202</v>
      </c>
      <c r="E176" s="53">
        <f>100*[8]Cartera_Riesgosa!E176/[8]Cartera_Bruta!F214</f>
        <v>10.934294946514962</v>
      </c>
      <c r="F176" s="54">
        <f>+[8]Cartera_Riesgosa!F176*100/[8]Cartera_Bruta!G214</f>
        <v>7.0918123477350958</v>
      </c>
      <c r="G176" s="55"/>
    </row>
    <row r="177" spans="1:7" x14ac:dyDescent="0.3">
      <c r="A177" s="43">
        <v>42522</v>
      </c>
      <c r="B177" s="52">
        <f>100*[8]Cartera_Riesgosa!B177/[8]Cartera_Bruta!B215</f>
        <v>7.5240643431531034</v>
      </c>
      <c r="C177" s="52">
        <f>100*[8]Cartera_Riesgosa!C177/[8]Cartera_Bruta!C215</f>
        <v>7.6175102824749628</v>
      </c>
      <c r="D177" s="53">
        <f>100*[8]Cartera_Riesgosa!D177/[8]Cartera_Bruta!D215</f>
        <v>3.8620625069751138</v>
      </c>
      <c r="E177" s="53">
        <f>100*[8]Cartera_Riesgosa!E177/[8]Cartera_Bruta!F215</f>
        <v>11.365765348049406</v>
      </c>
      <c r="F177" s="54">
        <f>+[8]Cartera_Riesgosa!F177*100/[8]Cartera_Bruta!G215</f>
        <v>7.2166606301959613</v>
      </c>
      <c r="G177" s="55"/>
    </row>
    <row r="178" spans="1:7" x14ac:dyDescent="0.3">
      <c r="A178" s="43">
        <v>42552</v>
      </c>
      <c r="B178" s="52">
        <f>100*[8]Cartera_Riesgosa!B178/[8]Cartera_Bruta!B216</f>
        <v>7.6594907091863416</v>
      </c>
      <c r="C178" s="52">
        <f>100*[8]Cartera_Riesgosa!C178/[8]Cartera_Bruta!C216</f>
        <v>7.8160659910021275</v>
      </c>
      <c r="D178" s="53">
        <f>100*[8]Cartera_Riesgosa!D178/[8]Cartera_Bruta!D216</f>
        <v>4.0084251240371227</v>
      </c>
      <c r="E178" s="53">
        <f>100*[8]Cartera_Riesgosa!E178/[8]Cartera_Bruta!F216</f>
        <v>11.354795580091331</v>
      </c>
      <c r="F178" s="54">
        <f>+[8]Cartera_Riesgosa!F178*100/[8]Cartera_Bruta!G216</f>
        <v>7.3649912222446208</v>
      </c>
      <c r="G178" s="55"/>
    </row>
    <row r="179" spans="1:7" x14ac:dyDescent="0.3">
      <c r="A179" s="43">
        <v>42583</v>
      </c>
      <c r="B179" s="52">
        <f>100*[8]Cartera_Riesgosa!B179/[8]Cartera_Bruta!B217</f>
        <v>7.7350708898613343</v>
      </c>
      <c r="C179" s="52">
        <f>100*[8]Cartera_Riesgosa!C179/[8]Cartera_Bruta!C217</f>
        <v>7.7573149433696971</v>
      </c>
      <c r="D179" s="53">
        <f>100*[8]Cartera_Riesgosa!D179/[8]Cartera_Bruta!D217</f>
        <v>4.0015758124466947</v>
      </c>
      <c r="E179" s="53">
        <f>100*[8]Cartera_Riesgosa!E179/[8]Cartera_Bruta!F217</f>
        <v>11.213645730223005</v>
      </c>
      <c r="F179" s="54">
        <f>+[8]Cartera_Riesgosa!F179*100/[8]Cartera_Bruta!G217</f>
        <v>7.3856031906819961</v>
      </c>
      <c r="G179" s="55"/>
    </row>
    <row r="180" spans="1:7" x14ac:dyDescent="0.3">
      <c r="A180" s="43">
        <v>42614</v>
      </c>
      <c r="B180" s="52">
        <f>100*[8]Cartera_Riesgosa!B180/[8]Cartera_Bruta!B218</f>
        <v>7.6322097153148203</v>
      </c>
      <c r="C180" s="52">
        <f>100*[8]Cartera_Riesgosa!C180/[8]Cartera_Bruta!C218</f>
        <v>7.716826809589957</v>
      </c>
      <c r="D180" s="53">
        <f>100*[8]Cartera_Riesgosa!D180/[8]Cartera_Bruta!D218</f>
        <v>4.0199516668234869</v>
      </c>
      <c r="E180" s="53">
        <f>100*[8]Cartera_Riesgosa!E180/[8]Cartera_Bruta!F218</f>
        <v>10.873459911932128</v>
      </c>
      <c r="F180" s="54">
        <f>+[8]Cartera_Riesgosa!F180*100/[8]Cartera_Bruta!G218</f>
        <v>7.3081966036445607</v>
      </c>
      <c r="G180" s="55"/>
    </row>
    <row r="181" spans="1:7" x14ac:dyDescent="0.3">
      <c r="A181" s="43">
        <v>42644</v>
      </c>
      <c r="B181" s="52">
        <f>100*[8]Cartera_Riesgosa!B181/[8]Cartera_Bruta!B219</f>
        <v>7.8091602313417994</v>
      </c>
      <c r="C181" s="52">
        <f>100*[8]Cartera_Riesgosa!C181/[8]Cartera_Bruta!C219</f>
        <v>7.9008583893224973</v>
      </c>
      <c r="D181" s="53">
        <f>100*[8]Cartera_Riesgosa!D181/[8]Cartera_Bruta!D219</f>
        <v>4.154955823428617</v>
      </c>
      <c r="E181" s="53">
        <f>100*[8]Cartera_Riesgosa!E181/[8]Cartera_Bruta!F219</f>
        <v>11.082293754998238</v>
      </c>
      <c r="F181" s="54">
        <f>+[8]Cartera_Riesgosa!F181*100/[8]Cartera_Bruta!G219</f>
        <v>7.4797627135251306</v>
      </c>
      <c r="G181" s="55"/>
    </row>
    <row r="182" spans="1:7" x14ac:dyDescent="0.3">
      <c r="A182" s="43">
        <v>42675</v>
      </c>
      <c r="B182" s="52">
        <f>100*[8]Cartera_Riesgosa!B182/[8]Cartera_Bruta!B220</f>
        <v>8.5163023381229301</v>
      </c>
      <c r="C182" s="52">
        <f>100*[8]Cartera_Riesgosa!C182/[8]Cartera_Bruta!C220</f>
        <v>8.05120258924814</v>
      </c>
      <c r="D182" s="53">
        <f>100*[8]Cartera_Riesgosa!D182/[8]Cartera_Bruta!D220</f>
        <v>4.2606208336324753</v>
      </c>
      <c r="E182" s="53">
        <f>100*[8]Cartera_Riesgosa!E182/[8]Cartera_Bruta!F220</f>
        <v>11.22189774663685</v>
      </c>
      <c r="F182" s="54">
        <f>+[8]Cartera_Riesgosa!F182*100/[8]Cartera_Bruta!G220</f>
        <v>7.9459489792987679</v>
      </c>
      <c r="G182" s="55"/>
    </row>
    <row r="183" spans="1:7" x14ac:dyDescent="0.3">
      <c r="A183" s="43">
        <v>42705</v>
      </c>
      <c r="B183" s="52">
        <f>100*[8]Cartera_Riesgosa!B183/[8]Cartera_Bruta!B221</f>
        <v>8.6310784063998209</v>
      </c>
      <c r="C183" s="52">
        <f>100*[8]Cartera_Riesgosa!C183/[8]Cartera_Bruta!C221</f>
        <v>7.7583858395003666</v>
      </c>
      <c r="D183" s="53">
        <f>100*[8]Cartera_Riesgosa!D183/[8]Cartera_Bruta!D221</f>
        <v>4.0966691009068548</v>
      </c>
      <c r="E183" s="53">
        <f>100*[8]Cartera_Riesgosa!E183/[8]Cartera_Bruta!F221</f>
        <v>11.764791920618736</v>
      </c>
      <c r="F183" s="54">
        <f>+[8]Cartera_Riesgosa!F183*100/[8]Cartera_Bruta!G221</f>
        <v>7.9153104702503185</v>
      </c>
      <c r="G183" s="55"/>
    </row>
    <row r="184" spans="1:7" s="60" customFormat="1" x14ac:dyDescent="0.3">
      <c r="A184" s="43">
        <v>42736</v>
      </c>
      <c r="B184" s="52">
        <f>100*[8]Cartera_Riesgosa!B184/[8]Cartera_Bruta!B222</f>
        <v>9.9285926263227626</v>
      </c>
      <c r="C184" s="52">
        <f>100*[8]Cartera_Riesgosa!C184/[8]Cartera_Bruta!C222</f>
        <v>7.9182447627489951</v>
      </c>
      <c r="D184" s="53">
        <f>100*[8]Cartera_Riesgosa!D184/[8]Cartera_Bruta!D222</f>
        <v>4.2801141640781051</v>
      </c>
      <c r="E184" s="53">
        <f>100*[8]Cartera_Riesgosa!E184/[8]Cartera_Bruta!F222</f>
        <v>11.927458705724144</v>
      </c>
      <c r="F184" s="54">
        <f>+[8]Cartera_Riesgosa!F184*100/[8]Cartera_Bruta!G222</f>
        <v>8.7168952832956244</v>
      </c>
      <c r="G184" s="55"/>
    </row>
    <row r="185" spans="1:7" x14ac:dyDescent="0.3">
      <c r="A185" s="43">
        <v>42767</v>
      </c>
      <c r="B185" s="52">
        <f>100*[8]Cartera_Riesgosa!B185/[8]Cartera_Bruta!B223</f>
        <v>10.053991216714415</v>
      </c>
      <c r="C185" s="52">
        <f>100*[8]Cartera_Riesgosa!C185/[8]Cartera_Bruta!C223</f>
        <v>8.2487615934411647</v>
      </c>
      <c r="D185" s="53">
        <f>100*[8]Cartera_Riesgosa!D185/[8]Cartera_Bruta!D223</f>
        <v>4.2605523605334774</v>
      </c>
      <c r="E185" s="53">
        <f>100*[8]Cartera_Riesgosa!E185/[8]Cartera_Bruta!F223</f>
        <v>11.957453277570227</v>
      </c>
      <c r="F185" s="54">
        <f>+[8]Cartera_Riesgosa!F185*100/[8]Cartera_Bruta!G223</f>
        <v>8.8775893906390149</v>
      </c>
      <c r="G185" s="55"/>
    </row>
    <row r="186" spans="1:7" x14ac:dyDescent="0.3">
      <c r="A186" s="43">
        <v>42795</v>
      </c>
      <c r="B186" s="52">
        <f>100*[8]Cartera_Riesgosa!B186/[8]Cartera_Bruta!B224</f>
        <v>10.18900594446138</v>
      </c>
      <c r="C186" s="52">
        <f>100*[8]Cartera_Riesgosa!C186/[8]Cartera_Bruta!C224</f>
        <v>8.3382230273295441</v>
      </c>
      <c r="D186" s="53">
        <f>100*[8]Cartera_Riesgosa!D186/[8]Cartera_Bruta!D224</f>
        <v>4.2655032764662968</v>
      </c>
      <c r="E186" s="53">
        <f>100*[8]Cartera_Riesgosa!E186/[8]Cartera_Bruta!F224</f>
        <v>11.64195988385889</v>
      </c>
      <c r="F186" s="54">
        <f>+[8]Cartera_Riesgosa!F186*100/[8]Cartera_Bruta!G224</f>
        <v>8.970438500169017</v>
      </c>
      <c r="G186" s="55"/>
    </row>
    <row r="187" spans="1:7" x14ac:dyDescent="0.3">
      <c r="A187" s="43">
        <v>42826</v>
      </c>
      <c r="B187" s="52">
        <f>100*[8]Cartera_Riesgosa!B187/[8]Cartera_Bruta!B225</f>
        <v>10.190917906712892</v>
      </c>
      <c r="C187" s="52">
        <f>100*[8]Cartera_Riesgosa!C187/[8]Cartera_Bruta!C225</f>
        <v>8.7445166886376793</v>
      </c>
      <c r="D187" s="53">
        <f>100*[8]Cartera_Riesgosa!D187/[8]Cartera_Bruta!D225</f>
        <v>4.5592637980822897</v>
      </c>
      <c r="E187" s="53">
        <f>100*[8]Cartera_Riesgosa!E187/[8]Cartera_Bruta!F225</f>
        <v>11.915086306438997</v>
      </c>
      <c r="F187" s="54">
        <f>+[8]Cartera_Riesgosa!F187*100/[8]Cartera_Bruta!G225</f>
        <v>9.1295724045981448</v>
      </c>
      <c r="G187" s="55"/>
    </row>
    <row r="188" spans="1:7" x14ac:dyDescent="0.3">
      <c r="A188" s="43">
        <v>42856</v>
      </c>
      <c r="B188" s="52">
        <f>100*[8]Cartera_Riesgosa!B188/[8]Cartera_Bruta!B226</f>
        <v>10.427980068002311</v>
      </c>
      <c r="C188" s="52">
        <f>100*[8]Cartera_Riesgosa!C188/[8]Cartera_Bruta!C226</f>
        <v>8.8702490955796467</v>
      </c>
      <c r="D188" s="53">
        <f>100*[8]Cartera_Riesgosa!D188/[8]Cartera_Bruta!D226</f>
        <v>4.8147160715676112</v>
      </c>
      <c r="E188" s="53">
        <f>100*[8]Cartera_Riesgosa!E188/[8]Cartera_Bruta!F226</f>
        <v>11.898594206194923</v>
      </c>
      <c r="F188" s="54">
        <f>+[8]Cartera_Riesgosa!F188*100/[8]Cartera_Bruta!G226</f>
        <v>9.3264226174921792</v>
      </c>
      <c r="G188" s="55"/>
    </row>
    <row r="189" spans="1:7" x14ac:dyDescent="0.3">
      <c r="A189" s="43">
        <v>42887</v>
      </c>
      <c r="B189" s="52">
        <f>100*[8]Cartera_Riesgosa!B189/[8]Cartera_Bruta!B227</f>
        <v>10.634848714785166</v>
      </c>
      <c r="C189" s="52">
        <f>100*[8]Cartera_Riesgosa!C189/[8]Cartera_Bruta!C227</f>
        <v>8.92879221745644</v>
      </c>
      <c r="D189" s="53">
        <f>100*[8]Cartera_Riesgosa!D189/[8]Cartera_Bruta!D227</f>
        <v>4.8577796249472804</v>
      </c>
      <c r="E189" s="53">
        <f>100*[8]Cartera_Riesgosa!E189/[8]Cartera_Bruta!F227</f>
        <v>12.037671801940448</v>
      </c>
      <c r="F189" s="54">
        <f>+[8]Cartera_Riesgosa!F189*100/[8]Cartera_Bruta!G227</f>
        <v>9.4750637056719835</v>
      </c>
      <c r="G189" s="55"/>
    </row>
    <row r="190" spans="1:7" s="60" customFormat="1" x14ac:dyDescent="0.3">
      <c r="A190" s="43">
        <v>42917</v>
      </c>
      <c r="B190" s="52">
        <f>100*[8]Cartera_Riesgosa!B190/[8]Cartera_Bruta!B228</f>
        <v>10.814777168585227</v>
      </c>
      <c r="C190" s="52">
        <f>100*[8]Cartera_Riesgosa!C190/[8]Cartera_Bruta!C228</f>
        <v>8.9854580808323554</v>
      </c>
      <c r="D190" s="53">
        <f>100*[8]Cartera_Riesgosa!D190/[8]Cartera_Bruta!D228</f>
        <v>5.1110138803134886</v>
      </c>
      <c r="E190" s="53">
        <f>100*[8]Cartera_Riesgosa!E190/[8]Cartera_Bruta!F228</f>
        <v>11.832329797157305</v>
      </c>
      <c r="F190" s="54">
        <f>+[8]Cartera_Riesgosa!F190*100/[8]Cartera_Bruta!G228</f>
        <v>9.609728355793818</v>
      </c>
      <c r="G190" s="55"/>
    </row>
    <row r="191" spans="1:7" x14ac:dyDescent="0.3">
      <c r="A191" s="43">
        <v>42948</v>
      </c>
      <c r="B191" s="52">
        <f>100*[8]Cartera_Riesgosa!B191/[8]Cartera_Bruta!B229</f>
        <v>11.007401498251669</v>
      </c>
      <c r="C191" s="52">
        <f>100*[8]Cartera_Riesgosa!C191/[8]Cartera_Bruta!C229</f>
        <v>8.8976582801045989</v>
      </c>
      <c r="D191" s="53">
        <f>100*[8]Cartera_Riesgosa!D191/[8]Cartera_Bruta!D229</f>
        <v>5.1440050827938615</v>
      </c>
      <c r="E191" s="53">
        <f>100*[8]Cartera_Riesgosa!E191/[8]Cartera_Bruta!F229</f>
        <v>11.707825434494771</v>
      </c>
      <c r="F191" s="54">
        <f>+[8]Cartera_Riesgosa!F191*100/[8]Cartera_Bruta!G229</f>
        <v>9.6841952269671747</v>
      </c>
      <c r="G191" s="55"/>
    </row>
    <row r="192" spans="1:7" x14ac:dyDescent="0.3">
      <c r="A192" s="43">
        <v>42979</v>
      </c>
      <c r="B192" s="52">
        <f>100*[8]Cartera_Riesgosa!B192/[8]Cartera_Bruta!B230</f>
        <v>10.915910080435049</v>
      </c>
      <c r="C192" s="52">
        <f>100*[8]Cartera_Riesgosa!C192/[8]Cartera_Bruta!C230</f>
        <v>8.9610371282628059</v>
      </c>
      <c r="D192" s="53">
        <f>100*[8]Cartera_Riesgosa!D192/[8]Cartera_Bruta!D230</f>
        <v>5.2447725350709611</v>
      </c>
      <c r="E192" s="53">
        <f>100*[8]Cartera_Riesgosa!E192/[8]Cartera_Bruta!F230</f>
        <v>11.635729533759605</v>
      </c>
      <c r="F192" s="54">
        <f>+[8]Cartera_Riesgosa!F192*100/[8]Cartera_Bruta!G230</f>
        <v>9.6579677446219812</v>
      </c>
    </row>
    <row r="193" spans="1:7" x14ac:dyDescent="0.3">
      <c r="A193" s="43">
        <v>43009</v>
      </c>
      <c r="B193" s="52">
        <f>100*[8]Cartera_Riesgosa!B193/[8]Cartera_Bruta!B231</f>
        <v>10.930735119328046</v>
      </c>
      <c r="C193" s="52">
        <f>100*[8]Cartera_Riesgosa!C193/[8]Cartera_Bruta!C231</f>
        <v>9.0282636183323977</v>
      </c>
      <c r="D193" s="53">
        <f>100*[8]Cartera_Riesgosa!D193/[8]Cartera_Bruta!D231</f>
        <v>5.3755088601728032</v>
      </c>
      <c r="E193" s="53">
        <f>100*[8]Cartera_Riesgosa!E193/[8]Cartera_Bruta!F231</f>
        <v>11.467524389352464</v>
      </c>
      <c r="F193" s="54">
        <f>+[8]Cartera_Riesgosa!F193*100/[8]Cartera_Bruta!G231</f>
        <v>9.6913243426901499</v>
      </c>
    </row>
    <row r="194" spans="1:7" x14ac:dyDescent="0.3">
      <c r="A194" s="43">
        <v>43040</v>
      </c>
      <c r="B194" s="52">
        <f>100*[8]Cartera_Riesgosa!B194/[8]Cartera_Bruta!B232</f>
        <v>11.29999814874356</v>
      </c>
      <c r="C194" s="52">
        <f>100*[8]Cartera_Riesgosa!C194/[8]Cartera_Bruta!C232</f>
        <v>9.1270077253757158</v>
      </c>
      <c r="D194" s="53">
        <f>100*[8]Cartera_Riesgosa!D194/[8]Cartera_Bruta!D232</f>
        <v>5.4532603438314293</v>
      </c>
      <c r="E194" s="53">
        <f>100*[8]Cartera_Riesgosa!E194/[8]Cartera_Bruta!F232</f>
        <v>11.573756378899118</v>
      </c>
      <c r="F194" s="54">
        <f>+[8]Cartera_Riesgosa!F194*100/[8]Cartera_Bruta!G232</f>
        <v>9.9342408537061448</v>
      </c>
    </row>
    <row r="195" spans="1:7" x14ac:dyDescent="0.3">
      <c r="A195" s="43">
        <v>43070</v>
      </c>
      <c r="B195" s="52">
        <f>100*[8]Cartera_Riesgosa!B195/[8]Cartera_Bruta!B233</f>
        <v>11.447284445347782</v>
      </c>
      <c r="C195" s="52">
        <f>100*[8]Cartera_Riesgosa!C195/[8]Cartera_Bruta!C233</f>
        <v>8.8728286506576293</v>
      </c>
      <c r="D195" s="53">
        <f>100*[8]Cartera_Riesgosa!D195/[8]Cartera_Bruta!D233</f>
        <v>5.3783484196166862</v>
      </c>
      <c r="E195" s="53">
        <f>100*[8]Cartera_Riesgosa!E195/[8]Cartera_Bruta!F233</f>
        <v>12.134979537181781</v>
      </c>
      <c r="F195" s="54">
        <f>+[8]Cartera_Riesgosa!F195*100/[8]Cartera_Bruta!G233</f>
        <v>9.9405994462650344</v>
      </c>
    </row>
    <row r="196" spans="1:7" x14ac:dyDescent="0.3">
      <c r="A196" s="43">
        <v>43101</v>
      </c>
      <c r="B196" s="52">
        <f>100*[8]Cartera_Riesgosa!B196/[8]Cartera_Bruta!B234</f>
        <v>11.965356022980025</v>
      </c>
      <c r="C196" s="52">
        <f>100*[8]Cartera_Riesgosa!C196/[8]Cartera_Bruta!C234</f>
        <v>9.0013862872759525</v>
      </c>
      <c r="D196" s="53">
        <f>100*[8]Cartera_Riesgosa!D196/[8]Cartera_Bruta!D234</f>
        <v>5.5961844156870182</v>
      </c>
      <c r="E196" s="53">
        <f>100*[8]Cartera_Riesgosa!E196/[8]Cartera_Bruta!F234</f>
        <v>12.316064727961191</v>
      </c>
      <c r="F196" s="54">
        <f>+[8]Cartera_Riesgosa!F196*100/[8]Cartera_Bruta!G234</f>
        <v>10.287486686170034</v>
      </c>
      <c r="G196" s="169">
        <f>+E196-E184</f>
        <v>0.3886060222370471</v>
      </c>
    </row>
  </sheetData>
  <mergeCells count="2">
    <mergeCell ref="A2:A3"/>
    <mergeCell ref="B2:F2"/>
  </mergeCells>
  <pageMargins left="0.7" right="0.7" top="0.75" bottom="0.75" header="0.3" footer="0.3"/>
  <pageSetup scale="6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268"/>
  <sheetViews>
    <sheetView showGridLines="0" view="pageBreakPreview" zoomScale="85" zoomScaleNormal="100" zoomScaleSheetLayoutView="85" workbookViewId="0">
      <pane xSplit="1" ySplit="3" topLeftCell="Q4" activePane="bottomRight" state="frozen"/>
      <selection activeCell="E27" sqref="E27"/>
      <selection pane="topRight" activeCell="E27" sqref="E27"/>
      <selection pane="bottomLeft" activeCell="E27" sqref="E27"/>
      <selection pane="bottomRight" activeCell="E27" sqref="E27"/>
    </sheetView>
  </sheetViews>
  <sheetFormatPr baseColWidth="10" defaultRowHeight="16.5" x14ac:dyDescent="0.3"/>
  <cols>
    <col min="1" max="1" width="13.85546875" style="39" bestFit="1" customWidth="1"/>
    <col min="2" max="2" width="10" style="61" customWidth="1"/>
    <col min="3" max="3" width="11" style="61" customWidth="1"/>
    <col min="4" max="4" width="11.42578125" style="61" customWidth="1"/>
    <col min="5" max="5" width="12.140625" style="61" customWidth="1"/>
    <col min="6" max="7" width="10.42578125" style="61" customWidth="1"/>
    <col min="8" max="8" width="11" style="61" customWidth="1"/>
    <col min="9" max="9" width="14.7109375" style="61" customWidth="1"/>
    <col min="10" max="10" width="12.140625" style="61" customWidth="1"/>
    <col min="11" max="11" width="15.5703125" style="61" customWidth="1"/>
    <col min="12" max="12" width="15" style="61" customWidth="1"/>
    <col min="13" max="13" width="14.28515625" style="61" customWidth="1"/>
    <col min="14" max="14" width="12.140625" style="61" customWidth="1"/>
    <col min="15" max="15" width="14.28515625" style="61" customWidth="1"/>
    <col min="16" max="16" width="14.5703125" style="61" customWidth="1"/>
    <col min="17" max="17" width="11" style="90" customWidth="1"/>
    <col min="18" max="18" width="10.140625" style="90" customWidth="1"/>
    <col min="19" max="19" width="9.28515625" style="90" customWidth="1"/>
    <col min="20" max="20" width="13.28515625" style="90" customWidth="1"/>
    <col min="21" max="21" width="18.140625" style="90" customWidth="1"/>
    <col min="22" max="22" width="15" style="48" customWidth="1"/>
    <col min="23" max="27" width="12" style="48" bestFit="1" customWidth="1"/>
    <col min="28" max="29" width="11.42578125" style="48"/>
    <col min="30" max="30" width="4" style="48" customWidth="1"/>
    <col min="31" max="31" width="11.42578125" style="48"/>
    <col min="32" max="32" width="11.85546875" style="48" customWidth="1"/>
    <col min="33" max="16384" width="11.42578125" style="48"/>
  </cols>
  <sheetData>
    <row r="1" spans="1:40" s="67" customFormat="1" ht="25.5" customHeight="1" thickBot="1" x14ac:dyDescent="0.3">
      <c r="A1" s="62">
        <f>10^9</f>
        <v>1000000000</v>
      </c>
      <c r="B1" s="63" t="s">
        <v>25</v>
      </c>
      <c r="C1" s="63" t="s">
        <v>26</v>
      </c>
      <c r="D1" s="63" t="s">
        <v>27</v>
      </c>
      <c r="E1" s="63" t="s">
        <v>28</v>
      </c>
      <c r="F1" s="63"/>
      <c r="G1" s="64"/>
      <c r="H1" s="64"/>
      <c r="I1" s="64"/>
      <c r="J1" s="65"/>
      <c r="K1" s="65"/>
      <c r="L1" s="65" t="s">
        <v>29</v>
      </c>
      <c r="M1" s="65" t="s">
        <v>30</v>
      </c>
      <c r="N1" s="65" t="s">
        <v>31</v>
      </c>
      <c r="O1" s="65" t="s">
        <v>32</v>
      </c>
      <c r="P1" s="65"/>
      <c r="Q1" s="65"/>
      <c r="R1" s="64"/>
      <c r="S1" s="64"/>
      <c r="T1" s="65"/>
      <c r="U1" s="65"/>
      <c r="V1" s="66"/>
    </row>
    <row r="2" spans="1:40" s="69" customFormat="1" ht="30" customHeight="1" thickBot="1" x14ac:dyDescent="0.35">
      <c r="A2" s="178" t="s">
        <v>7</v>
      </c>
      <c r="B2" s="180" t="s">
        <v>33</v>
      </c>
      <c r="C2" s="181"/>
      <c r="D2" s="181"/>
      <c r="E2" s="181"/>
      <c r="F2" s="182"/>
      <c r="G2" s="174" t="s">
        <v>34</v>
      </c>
      <c r="H2" s="175"/>
      <c r="I2" s="175"/>
      <c r="J2" s="175"/>
      <c r="K2" s="176"/>
      <c r="L2" s="174" t="s">
        <v>35</v>
      </c>
      <c r="M2" s="175"/>
      <c r="N2" s="175"/>
      <c r="O2" s="175"/>
      <c r="P2" s="176"/>
      <c r="Q2" s="174" t="s">
        <v>36</v>
      </c>
      <c r="R2" s="175"/>
      <c r="S2" s="175"/>
      <c r="T2" s="175"/>
      <c r="U2" s="176"/>
      <c r="V2" s="68"/>
      <c r="Y2" s="70"/>
      <c r="Z2" s="70"/>
      <c r="AA2" s="70"/>
      <c r="AB2" s="70"/>
      <c r="AC2" s="70"/>
    </row>
    <row r="3" spans="1:40" s="77" customFormat="1" ht="30" customHeight="1" thickBot="1" x14ac:dyDescent="0.35">
      <c r="A3" s="179"/>
      <c r="B3" s="71" t="s">
        <v>10</v>
      </c>
      <c r="C3" s="72" t="s">
        <v>11</v>
      </c>
      <c r="D3" s="71" t="s">
        <v>12</v>
      </c>
      <c r="E3" s="72" t="s">
        <v>14</v>
      </c>
      <c r="F3" s="71" t="s">
        <v>37</v>
      </c>
      <c r="G3" s="73" t="s">
        <v>10</v>
      </c>
      <c r="H3" s="71" t="s">
        <v>11</v>
      </c>
      <c r="I3" s="74" t="s">
        <v>12</v>
      </c>
      <c r="J3" s="71" t="s">
        <v>14</v>
      </c>
      <c r="K3" s="74" t="s">
        <v>37</v>
      </c>
      <c r="L3" s="19" t="s">
        <v>10</v>
      </c>
      <c r="M3" s="75" t="s">
        <v>11</v>
      </c>
      <c r="N3" s="19" t="s">
        <v>12</v>
      </c>
      <c r="O3" s="75" t="s">
        <v>14</v>
      </c>
      <c r="P3" s="19" t="s">
        <v>24</v>
      </c>
      <c r="Q3" s="75" t="s">
        <v>38</v>
      </c>
      <c r="R3" s="19" t="s">
        <v>39</v>
      </c>
      <c r="S3" s="75" t="s">
        <v>12</v>
      </c>
      <c r="T3" s="19" t="s">
        <v>40</v>
      </c>
      <c r="U3" s="17" t="s">
        <v>41</v>
      </c>
      <c r="V3" s="76"/>
    </row>
    <row r="4" spans="1:40" x14ac:dyDescent="0.3">
      <c r="A4" s="78">
        <v>36130</v>
      </c>
      <c r="B4" s="79">
        <f>[8]Cartera_Vencida!B4</f>
        <v>5.9277071120935405</v>
      </c>
      <c r="C4" s="80">
        <f>[8]Cartera_Vencida!C4</f>
        <v>4.2592386402920601</v>
      </c>
      <c r="D4" s="80">
        <f>[8]Cartera_Vencida!D4</f>
        <v>3.97493200956146</v>
      </c>
      <c r="E4" s="80">
        <f>[8]Cartera_Vencida!E4</f>
        <v>0</v>
      </c>
      <c r="F4" s="81">
        <f>[8]Cartera_Vencida!F4</f>
        <v>14.161877761947061</v>
      </c>
      <c r="G4" s="80">
        <f>100*B4/[8]Cartera_Bruta!B5</f>
        <v>8.474330025844024</v>
      </c>
      <c r="H4" s="80">
        <f>100*C4/[8]Cartera_Bruta!C5</f>
        <v>17.6936734792496</v>
      </c>
      <c r="I4" s="80">
        <f>100*D4/[8]Cartera_Bruta!D5</f>
        <v>10.100243837369698</v>
      </c>
      <c r="J4" s="80"/>
      <c r="K4" s="81">
        <f>+F4*100/[8]Cartera_Bruta!G5</f>
        <v>10.618019472143347</v>
      </c>
      <c r="L4" s="82"/>
      <c r="M4" s="82"/>
      <c r="N4" s="82"/>
      <c r="O4" s="82"/>
      <c r="P4" s="82"/>
      <c r="Q4" s="83">
        <f>100*(B4+L4)/([8]Cartera_Bruta!B5+'G2.4B'!L4)</f>
        <v>8.474330025844024</v>
      </c>
      <c r="R4" s="82">
        <f>100*(C4+M4)/([8]Cartera_Bruta!C5+'G2.4B'!M4)</f>
        <v>17.6936734792496</v>
      </c>
      <c r="S4" s="82">
        <f>100*(D4+N4)/([8]Cartera_Bruta!D5+'G2.4B'!N4)</f>
        <v>10.100243837369698</v>
      </c>
      <c r="T4" s="82"/>
      <c r="U4" s="84">
        <f>100*(F4+P4)/([8]Cartera_Bruta!G5+'G2.4B'!P4)</f>
        <v>10.618019472143347</v>
      </c>
      <c r="V4" s="48" t="str">
        <f>+IF(K4&gt;=5,"T","F")</f>
        <v>T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</row>
    <row r="5" spans="1:40" x14ac:dyDescent="0.3">
      <c r="A5" s="43">
        <v>36161</v>
      </c>
      <c r="B5" s="83">
        <f>[8]Cartera_Vencida!B5</f>
        <v>6.6729177017782497</v>
      </c>
      <c r="C5" s="82">
        <f>[8]Cartera_Vencida!C5</f>
        <v>4.8100085619600801</v>
      </c>
      <c r="D5" s="82">
        <f>[8]Cartera_Vencida!D5</f>
        <v>4.4614822341316405</v>
      </c>
      <c r="E5" s="82">
        <f>[8]Cartera_Vencida!E5</f>
        <v>0</v>
      </c>
      <c r="F5" s="84">
        <f>[8]Cartera_Vencida!F5</f>
        <v>15.94440849786997</v>
      </c>
      <c r="G5" s="82">
        <f>100*B5/[8]Cartera_Bruta!B6</f>
        <v>9.7048274906306204</v>
      </c>
      <c r="H5" s="82">
        <f>100*C5/[8]Cartera_Bruta!C6</f>
        <v>19.702933140786364</v>
      </c>
      <c r="I5" s="82">
        <f>100*D5/[8]Cartera_Bruta!D6</f>
        <v>11.516781835723942</v>
      </c>
      <c r="J5" s="82"/>
      <c r="K5" s="84">
        <f>+F5*100/[8]Cartera_Bruta!G6</f>
        <v>12.087305287420968</v>
      </c>
      <c r="L5" s="82"/>
      <c r="M5" s="82"/>
      <c r="N5" s="82"/>
      <c r="O5" s="82"/>
      <c r="P5" s="82"/>
      <c r="Q5" s="83">
        <f>100*(B5+L5)/([8]Cartera_Bruta!B6+'G2.4B'!L5)</f>
        <v>9.7048274906306204</v>
      </c>
      <c r="R5" s="82">
        <f>100*(C5+M5)/([8]Cartera_Bruta!C6+'G2.4B'!M5)</f>
        <v>19.702933140786364</v>
      </c>
      <c r="S5" s="82">
        <f>100*(D5+N5)/([8]Cartera_Bruta!D6+'G2.4B'!N5)</f>
        <v>11.516781835723942</v>
      </c>
      <c r="T5" s="82"/>
      <c r="U5" s="84">
        <f>100*(F5+P5)/([8]Cartera_Bruta!G6+'G2.4B'!P5)</f>
        <v>12.087305287420968</v>
      </c>
      <c r="V5" s="48" t="str">
        <f t="shared" ref="V5:V68" si="0">+IF(K5&gt;=5,"T","F")</f>
        <v>T</v>
      </c>
      <c r="W5" s="147" t="s">
        <v>92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</row>
    <row r="6" spans="1:40" x14ac:dyDescent="0.3">
      <c r="A6" s="43">
        <v>36192</v>
      </c>
      <c r="B6" s="83">
        <f>[8]Cartera_Vencida!B6</f>
        <v>6.7892303036193002</v>
      </c>
      <c r="C6" s="82">
        <f>[8]Cartera_Vencida!C6</f>
        <v>4.8175933535912998</v>
      </c>
      <c r="D6" s="82">
        <f>[8]Cartera_Vencida!D6</f>
        <v>4.8833158262222698</v>
      </c>
      <c r="E6" s="82">
        <f>[8]Cartera_Vencida!E6</f>
        <v>0</v>
      </c>
      <c r="F6" s="84">
        <f>[8]Cartera_Vencida!F6</f>
        <v>16.49013948343287</v>
      </c>
      <c r="G6" s="82">
        <f>100*B6/[8]Cartera_Bruta!B7</f>
        <v>10.280485690250826</v>
      </c>
      <c r="H6" s="82">
        <f>100*C6/[8]Cartera_Bruta!C7</f>
        <v>20.414245044093683</v>
      </c>
      <c r="I6" s="82">
        <f>100*D6/[8]Cartera_Bruta!D7</f>
        <v>12.688850651081628</v>
      </c>
      <c r="J6" s="82"/>
      <c r="K6" s="84">
        <f>+F6*100/[8]Cartera_Bruta!G7</f>
        <v>12.870428834682185</v>
      </c>
      <c r="L6" s="82"/>
      <c r="M6" s="82"/>
      <c r="N6" s="82"/>
      <c r="O6" s="82"/>
      <c r="P6" s="82"/>
      <c r="Q6" s="83">
        <f>100*(B6+L6)/([8]Cartera_Bruta!B7+'G2.4B'!L6)</f>
        <v>10.280485690250826</v>
      </c>
      <c r="R6" s="82">
        <f>100*(C6+M6)/([8]Cartera_Bruta!C7+'G2.4B'!M6)</f>
        <v>20.414245044093683</v>
      </c>
      <c r="S6" s="82">
        <f>100*(D6+N6)/([8]Cartera_Bruta!D7+'G2.4B'!N6)</f>
        <v>12.688850651081628</v>
      </c>
      <c r="T6" s="82"/>
      <c r="U6" s="84">
        <f>100*(F6+P6)/([8]Cartera_Bruta!G7+'G2.4B'!P6)</f>
        <v>12.870428834682185</v>
      </c>
      <c r="V6" s="48" t="str">
        <f t="shared" si="0"/>
        <v>T</v>
      </c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</row>
    <row r="7" spans="1:40" x14ac:dyDescent="0.3">
      <c r="A7" s="43">
        <v>36220</v>
      </c>
      <c r="B7" s="83">
        <f>[8]Cartera_Vencida!B7</f>
        <v>7.2071719458754302</v>
      </c>
      <c r="C7" s="82">
        <f>[8]Cartera_Vencida!C7</f>
        <v>4.8458387564002399</v>
      </c>
      <c r="D7" s="82">
        <f>[8]Cartera_Vencida!D7</f>
        <v>5.2519859048157196</v>
      </c>
      <c r="E7" s="82">
        <f>[8]Cartera_Vencida!E7</f>
        <v>0</v>
      </c>
      <c r="F7" s="84">
        <f>[8]Cartera_Vencida!F7</f>
        <v>17.30499660709139</v>
      </c>
      <c r="G7" s="82">
        <f>100*B7/[8]Cartera_Bruta!B8</f>
        <v>11.010602389727003</v>
      </c>
      <c r="H7" s="82">
        <f>100*C7/[8]Cartera_Bruta!C8</f>
        <v>21.20902850203063</v>
      </c>
      <c r="I7" s="82">
        <f>100*D7/[8]Cartera_Bruta!D8</f>
        <v>13.714760166264821</v>
      </c>
      <c r="J7" s="82"/>
      <c r="K7" s="84">
        <f>+F7*100/[8]Cartera_Bruta!G8</f>
        <v>13.669135178322945</v>
      </c>
      <c r="L7" s="82"/>
      <c r="M7" s="82"/>
      <c r="N7" s="82"/>
      <c r="O7" s="82"/>
      <c r="P7" s="82"/>
      <c r="Q7" s="83">
        <f>100*(B7+L7)/([8]Cartera_Bruta!B8+'G2.4B'!L7)</f>
        <v>11.010602389727003</v>
      </c>
      <c r="R7" s="82">
        <f>100*(C7+M7)/([8]Cartera_Bruta!C8+'G2.4B'!M7)</f>
        <v>21.20902850203063</v>
      </c>
      <c r="S7" s="82">
        <f>100*(D7+N7)/([8]Cartera_Bruta!D8+'G2.4B'!N7)</f>
        <v>13.714760166264821</v>
      </c>
      <c r="T7" s="82"/>
      <c r="U7" s="84">
        <f>100*(F7+P7)/([8]Cartera_Bruta!G8+'G2.4B'!P7)</f>
        <v>13.669135178322945</v>
      </c>
      <c r="V7" s="48" t="str">
        <f t="shared" si="0"/>
        <v>T</v>
      </c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</row>
    <row r="8" spans="1:40" x14ac:dyDescent="0.3">
      <c r="A8" s="43">
        <v>36251</v>
      </c>
      <c r="B8" s="83">
        <f>[8]Cartera_Vencida!B8</f>
        <v>7.5905797110462201</v>
      </c>
      <c r="C8" s="82">
        <f>[8]Cartera_Vencida!C8</f>
        <v>4.9643664191188801</v>
      </c>
      <c r="D8" s="82">
        <f>[8]Cartera_Vencida!D8</f>
        <v>5.7226520445669902</v>
      </c>
      <c r="E8" s="82">
        <f>[8]Cartera_Vencida!E8</f>
        <v>0</v>
      </c>
      <c r="F8" s="84">
        <f>[8]Cartera_Vencida!F8</f>
        <v>18.277598174732091</v>
      </c>
      <c r="G8" s="82">
        <f>100*B8/[8]Cartera_Bruta!B9</f>
        <v>11.75462792570471</v>
      </c>
      <c r="H8" s="82">
        <f>100*C8/[8]Cartera_Bruta!C9</f>
        <v>22.164711798841687</v>
      </c>
      <c r="I8" s="82">
        <f>100*D8/[8]Cartera_Bruta!D9</f>
        <v>15.113560433844281</v>
      </c>
      <c r="J8" s="82"/>
      <c r="K8" s="84">
        <f>+F8*100/[8]Cartera_Bruta!G9</f>
        <v>14.641145792378337</v>
      </c>
      <c r="L8" s="82"/>
      <c r="M8" s="82"/>
      <c r="N8" s="82"/>
      <c r="O8" s="82"/>
      <c r="P8" s="82"/>
      <c r="Q8" s="83">
        <f>100*(B8+L8)/([8]Cartera_Bruta!B9+'G2.4B'!L8)</f>
        <v>11.75462792570471</v>
      </c>
      <c r="R8" s="82">
        <f>100*(C8+M8)/([8]Cartera_Bruta!C9+'G2.4B'!M8)</f>
        <v>22.164711798841687</v>
      </c>
      <c r="S8" s="82">
        <f>100*(D8+N8)/([8]Cartera_Bruta!D9+'G2.4B'!N8)</f>
        <v>15.113560433844281</v>
      </c>
      <c r="T8" s="82"/>
      <c r="U8" s="84">
        <f>100*(F8+P8)/([8]Cartera_Bruta!G9+'G2.4B'!P8)</f>
        <v>14.641145792378337</v>
      </c>
      <c r="V8" s="48" t="str">
        <f t="shared" si="0"/>
        <v>T</v>
      </c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</row>
    <row r="9" spans="1:40" x14ac:dyDescent="0.3">
      <c r="A9" s="43">
        <v>36281</v>
      </c>
      <c r="B9" s="83">
        <f>[8]Cartera_Vencida!B9</f>
        <v>7.85917815356889</v>
      </c>
      <c r="C9" s="82">
        <f>[8]Cartera_Vencida!C9</f>
        <v>4.8862940576012495</v>
      </c>
      <c r="D9" s="82">
        <f>[8]Cartera_Vencida!D9</f>
        <v>4.7960507879583902</v>
      </c>
      <c r="E9" s="82">
        <f>[8]Cartera_Vencida!E9</f>
        <v>0</v>
      </c>
      <c r="F9" s="84">
        <f>[8]Cartera_Vencida!F9</f>
        <v>17.541522999128528</v>
      </c>
      <c r="G9" s="82">
        <f>100*B9/[8]Cartera_Bruta!B10</f>
        <v>12.227981911395846</v>
      </c>
      <c r="H9" s="82">
        <f>100*C9/[8]Cartera_Bruta!C10</f>
        <v>22.532664834904036</v>
      </c>
      <c r="I9" s="82">
        <f>100*D9/[8]Cartera_Bruta!D10</f>
        <v>12.697370317480031</v>
      </c>
      <c r="J9" s="82"/>
      <c r="K9" s="84">
        <f>+F9*100/[8]Cartera_Bruta!G10</f>
        <v>14.177321284464975</v>
      </c>
      <c r="L9" s="82"/>
      <c r="M9" s="82"/>
      <c r="N9" s="82"/>
      <c r="O9" s="82"/>
      <c r="P9" s="82"/>
      <c r="Q9" s="83">
        <f>100*(B9+L9)/([8]Cartera_Bruta!B10+'G2.4B'!L9)</f>
        <v>12.227981911395846</v>
      </c>
      <c r="R9" s="82">
        <f>100*(C9+M9)/([8]Cartera_Bruta!C10+'G2.4B'!M9)</f>
        <v>22.532664834904036</v>
      </c>
      <c r="S9" s="82">
        <f>100*(D9+N9)/([8]Cartera_Bruta!D10+'G2.4B'!N9)</f>
        <v>12.697370317480031</v>
      </c>
      <c r="T9" s="82"/>
      <c r="U9" s="84">
        <f>100*(F9+P9)/([8]Cartera_Bruta!G10+'G2.4B'!P9)</f>
        <v>14.177321284464975</v>
      </c>
      <c r="V9" s="48" t="str">
        <f t="shared" si="0"/>
        <v>T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</row>
    <row r="10" spans="1:40" x14ac:dyDescent="0.3">
      <c r="A10" s="43">
        <v>36312</v>
      </c>
      <c r="B10" s="83">
        <f>[8]Cartera_Vencida!B10</f>
        <v>6.6385959450659602</v>
      </c>
      <c r="C10" s="82">
        <f>[8]Cartera_Vencida!C10</f>
        <v>4.1547952681526299</v>
      </c>
      <c r="D10" s="82">
        <f>[8]Cartera_Vencida!D10</f>
        <v>4.7879224085782699</v>
      </c>
      <c r="E10" s="82">
        <f>[8]Cartera_Vencida!E10</f>
        <v>0</v>
      </c>
      <c r="F10" s="84">
        <f>[8]Cartera_Vencida!F10</f>
        <v>15.581313621796861</v>
      </c>
      <c r="G10" s="82">
        <f>100*B10/[8]Cartera_Bruta!B11</f>
        <v>10.430312046150874</v>
      </c>
      <c r="H10" s="82">
        <f>100*C10/[8]Cartera_Bruta!C11</f>
        <v>20.553798454371712</v>
      </c>
      <c r="I10" s="82">
        <f>100*D10/[8]Cartera_Bruta!D11</f>
        <v>12.720468567131514</v>
      </c>
      <c r="J10" s="82"/>
      <c r="K10" s="84">
        <f>+F10*100/[8]Cartera_Bruta!G11</f>
        <v>12.824030976114093</v>
      </c>
      <c r="L10" s="82"/>
      <c r="M10" s="82"/>
      <c r="N10" s="82"/>
      <c r="O10" s="82"/>
      <c r="P10" s="82"/>
      <c r="Q10" s="83">
        <f>100*(B10+L10)/([8]Cartera_Bruta!B11+'G2.4B'!L10)</f>
        <v>10.430312046150874</v>
      </c>
      <c r="R10" s="82">
        <f>100*(C10+M10)/([8]Cartera_Bruta!C11+'G2.4B'!M10)</f>
        <v>20.553798454371712</v>
      </c>
      <c r="S10" s="82">
        <f>100*(D10+N10)/([8]Cartera_Bruta!D11+'G2.4B'!N10)</f>
        <v>12.720468567131514</v>
      </c>
      <c r="T10" s="82"/>
      <c r="U10" s="84">
        <f>100*(F10+P10)/([8]Cartera_Bruta!G11+'G2.4B'!P10)</f>
        <v>12.824030976114093</v>
      </c>
      <c r="V10" s="48" t="str">
        <f t="shared" si="0"/>
        <v>T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</row>
    <row r="11" spans="1:40" x14ac:dyDescent="0.3">
      <c r="A11" s="43">
        <v>36342</v>
      </c>
      <c r="B11" s="83">
        <f>[8]Cartera_Vencida!B11</f>
        <v>7.0419109061871898</v>
      </c>
      <c r="C11" s="82">
        <f>[8]Cartera_Vencida!C11</f>
        <v>4.1308590661902702</v>
      </c>
      <c r="D11" s="82">
        <f>[8]Cartera_Vencida!D11</f>
        <v>4.9978322886895201</v>
      </c>
      <c r="E11" s="82">
        <f>[8]Cartera_Vencida!E11</f>
        <v>0</v>
      </c>
      <c r="F11" s="84">
        <f>[8]Cartera_Vencida!F11</f>
        <v>16.170602261066978</v>
      </c>
      <c r="G11" s="82">
        <f>100*B11/[8]Cartera_Bruta!B12</f>
        <v>10.959277595360767</v>
      </c>
      <c r="H11" s="82">
        <f>100*C11/[8]Cartera_Bruta!C12</f>
        <v>21.579025607875927</v>
      </c>
      <c r="I11" s="82">
        <f>100*D11/[8]Cartera_Bruta!D12</f>
        <v>13.398707522952279</v>
      </c>
      <c r="J11" s="82"/>
      <c r="K11" s="84">
        <f>+F11*100/[8]Cartera_Bruta!G12</f>
        <v>13.397457577611538</v>
      </c>
      <c r="L11" s="82"/>
      <c r="M11" s="82"/>
      <c r="N11" s="82"/>
      <c r="O11" s="82"/>
      <c r="P11" s="82"/>
      <c r="Q11" s="83">
        <f>100*(B11+L11)/([8]Cartera_Bruta!B12+'G2.4B'!L11)</f>
        <v>10.959277595360767</v>
      </c>
      <c r="R11" s="82">
        <f>100*(C11+M11)/([8]Cartera_Bruta!C12+'G2.4B'!M11)</f>
        <v>21.579025607875927</v>
      </c>
      <c r="S11" s="82">
        <f>100*(D11+N11)/([8]Cartera_Bruta!D12+'G2.4B'!N11)</f>
        <v>13.398707522952279</v>
      </c>
      <c r="T11" s="82"/>
      <c r="U11" s="84">
        <f>100*(F11+P11)/([8]Cartera_Bruta!G12+'G2.4B'!P11)</f>
        <v>13.397457577611538</v>
      </c>
      <c r="V11" s="48" t="str">
        <f t="shared" si="0"/>
        <v>T</v>
      </c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</row>
    <row r="12" spans="1:40" x14ac:dyDescent="0.3">
      <c r="A12" s="43">
        <v>36373</v>
      </c>
      <c r="B12" s="83">
        <f>[8]Cartera_Vencida!B12</f>
        <v>6.6902502197925102</v>
      </c>
      <c r="C12" s="82">
        <f>[8]Cartera_Vencida!C12</f>
        <v>3.86879503730496</v>
      </c>
      <c r="D12" s="82">
        <f>[8]Cartera_Vencida!D12</f>
        <v>5.4393996122655004</v>
      </c>
      <c r="E12" s="82">
        <f>[8]Cartera_Vencida!E12</f>
        <v>0</v>
      </c>
      <c r="F12" s="84">
        <f>[8]Cartera_Vencida!F12</f>
        <v>15.99844486936297</v>
      </c>
      <c r="G12" s="82">
        <f>100*B12/[8]Cartera_Bruta!B13</f>
        <v>10.562895826286868</v>
      </c>
      <c r="H12" s="82">
        <f>100*C12/[8]Cartera_Bruta!C13</f>
        <v>21.054658536463155</v>
      </c>
      <c r="I12" s="82">
        <f>100*D12/[8]Cartera_Bruta!D13</f>
        <v>14.702788088801839</v>
      </c>
      <c r="J12" s="82"/>
      <c r="K12" s="84">
        <f>+F12*100/[8]Cartera_Bruta!G13</f>
        <v>13.4771432762085</v>
      </c>
      <c r="L12" s="82"/>
      <c r="M12" s="82"/>
      <c r="N12" s="82"/>
      <c r="O12" s="82"/>
      <c r="P12" s="82"/>
      <c r="Q12" s="83">
        <f>100*(B12+L12)/([8]Cartera_Bruta!B13+'G2.4B'!L12)</f>
        <v>10.562895826286868</v>
      </c>
      <c r="R12" s="82">
        <f>100*(C12+M12)/([8]Cartera_Bruta!C13+'G2.4B'!M12)</f>
        <v>21.054658536463155</v>
      </c>
      <c r="S12" s="82">
        <f>100*(D12+N12)/([8]Cartera_Bruta!D13+'G2.4B'!N12)</f>
        <v>14.702788088801839</v>
      </c>
      <c r="T12" s="82"/>
      <c r="U12" s="84">
        <f>100*(F12+P12)/([8]Cartera_Bruta!G13+'G2.4B'!P12)</f>
        <v>13.4771432762085</v>
      </c>
      <c r="V12" s="48" t="str">
        <f t="shared" si="0"/>
        <v>T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</row>
    <row r="13" spans="1:40" x14ac:dyDescent="0.3">
      <c r="A13" s="43">
        <v>36404</v>
      </c>
      <c r="B13" s="83">
        <f>[8]Cartera_Vencida!B13</f>
        <v>6.8481140588914302</v>
      </c>
      <c r="C13" s="82">
        <f>[8]Cartera_Vencida!C13</f>
        <v>3.6550254092690402</v>
      </c>
      <c r="D13" s="82">
        <f>[8]Cartera_Vencida!D13</f>
        <v>5.4766001546040606</v>
      </c>
      <c r="E13" s="82">
        <f>[8]Cartera_Vencida!E13</f>
        <v>0</v>
      </c>
      <c r="F13" s="84">
        <f>[8]Cartera_Vencida!F13</f>
        <v>15.97973962276453</v>
      </c>
      <c r="G13" s="82">
        <f>100*B13/[8]Cartera_Bruta!B14</f>
        <v>10.57060978737376</v>
      </c>
      <c r="H13" s="82">
        <f>100*C13/[8]Cartera_Bruta!C14</f>
        <v>20.420218312574811</v>
      </c>
      <c r="I13" s="82">
        <f>100*D13/[8]Cartera_Bruta!D14</f>
        <v>14.672665362547317</v>
      </c>
      <c r="J13" s="82"/>
      <c r="K13" s="84">
        <f>+F13*100/[8]Cartera_Bruta!G14</f>
        <v>13.315482521916723</v>
      </c>
      <c r="L13" s="82"/>
      <c r="M13" s="82"/>
      <c r="N13" s="82"/>
      <c r="O13" s="82"/>
      <c r="P13" s="82"/>
      <c r="Q13" s="83">
        <f>100*(B13+L13)/([8]Cartera_Bruta!B14+'G2.4B'!L13)</f>
        <v>10.57060978737376</v>
      </c>
      <c r="R13" s="82">
        <f>100*(C13+M13)/([8]Cartera_Bruta!C14+'G2.4B'!M13)</f>
        <v>20.420218312574811</v>
      </c>
      <c r="S13" s="82">
        <f>100*(D13+N13)/([8]Cartera_Bruta!D14+'G2.4B'!N13)</f>
        <v>14.672665362547317</v>
      </c>
      <c r="T13" s="82"/>
      <c r="U13" s="84">
        <f>100*(F13+P13)/([8]Cartera_Bruta!G14+'G2.4B'!P13)</f>
        <v>13.315482521916723</v>
      </c>
      <c r="V13" s="48" t="str">
        <f t="shared" si="0"/>
        <v>T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</row>
    <row r="14" spans="1:40" x14ac:dyDescent="0.3">
      <c r="A14" s="43">
        <v>36434</v>
      </c>
      <c r="B14" s="83">
        <f>[8]Cartera_Vencida!B14</f>
        <v>6.9680419238582099</v>
      </c>
      <c r="C14" s="82">
        <f>[8]Cartera_Vencida!C14</f>
        <v>3.7344756165096897</v>
      </c>
      <c r="D14" s="82">
        <f>[8]Cartera_Vencida!D14</f>
        <v>6.1264103377459094</v>
      </c>
      <c r="E14" s="82">
        <f>[8]Cartera_Vencida!E14</f>
        <v>0</v>
      </c>
      <c r="F14" s="84">
        <f>[8]Cartera_Vencida!F14</f>
        <v>16.828927878113809</v>
      </c>
      <c r="G14" s="82">
        <f>100*B14/[8]Cartera_Bruta!B15</f>
        <v>10.970177142104697</v>
      </c>
      <c r="H14" s="82">
        <f>100*C14/[8]Cartera_Bruta!C15</f>
        <v>21.393744960846906</v>
      </c>
      <c r="I14" s="82">
        <f>100*D14/[8]Cartera_Bruta!D15</f>
        <v>16.719963620734305</v>
      </c>
      <c r="J14" s="82"/>
      <c r="K14" s="84">
        <f>+F14*100/[8]Cartera_Bruta!G15</f>
        <v>14.308456548605115</v>
      </c>
      <c r="L14" s="82"/>
      <c r="M14" s="82"/>
      <c r="N14" s="82"/>
      <c r="O14" s="82"/>
      <c r="P14" s="82"/>
      <c r="Q14" s="83">
        <f>100*(B14+L14)/([8]Cartera_Bruta!B15+'G2.4B'!L14)</f>
        <v>10.970177142104697</v>
      </c>
      <c r="R14" s="82">
        <f>100*(C14+M14)/([8]Cartera_Bruta!C15+'G2.4B'!M14)</f>
        <v>21.393744960846906</v>
      </c>
      <c r="S14" s="82">
        <f>100*(D14+N14)/([8]Cartera_Bruta!D15+'G2.4B'!N14)</f>
        <v>16.719963620734305</v>
      </c>
      <c r="T14" s="82"/>
      <c r="U14" s="84">
        <f>100*(F14+P14)/([8]Cartera_Bruta!G15+'G2.4B'!P14)</f>
        <v>14.308456548605115</v>
      </c>
      <c r="V14" s="48" t="str">
        <f t="shared" si="0"/>
        <v>T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</row>
    <row r="15" spans="1:40" x14ac:dyDescent="0.3">
      <c r="A15" s="43">
        <v>36465</v>
      </c>
      <c r="B15" s="83">
        <f>[8]Cartera_Vencida!B15</f>
        <v>7.9243190233709599</v>
      </c>
      <c r="C15" s="82">
        <f>[8]Cartera_Vencida!C15</f>
        <v>3.9149477281498499</v>
      </c>
      <c r="D15" s="82">
        <f>[8]Cartera_Vencida!D15</f>
        <v>7.2786393713497493</v>
      </c>
      <c r="E15" s="82">
        <f>[8]Cartera_Vencida!E15</f>
        <v>0</v>
      </c>
      <c r="F15" s="84">
        <f>[8]Cartera_Vencida!F15</f>
        <v>19.117906122870558</v>
      </c>
      <c r="G15" s="82">
        <f>100*B15/[8]Cartera_Bruta!B16</f>
        <v>12.384358007601472</v>
      </c>
      <c r="H15" s="82">
        <f>100*C15/[8]Cartera_Bruta!C16</f>
        <v>22.660495379948284</v>
      </c>
      <c r="I15" s="82">
        <f>100*D15/[8]Cartera_Bruta!D16</f>
        <v>19.755259018000768</v>
      </c>
      <c r="J15" s="82"/>
      <c r="K15" s="84">
        <f>+F15*100/[8]Cartera_Bruta!G16</f>
        <v>16.186922870391879</v>
      </c>
      <c r="L15" s="82"/>
      <c r="M15" s="82"/>
      <c r="N15" s="82"/>
      <c r="O15" s="82"/>
      <c r="P15" s="82"/>
      <c r="Q15" s="83">
        <f>100*(B15+L15)/([8]Cartera_Bruta!B16+'G2.4B'!L15)</f>
        <v>12.384358007601472</v>
      </c>
      <c r="R15" s="82">
        <f>100*(C15+M15)/([8]Cartera_Bruta!C16+'G2.4B'!M15)</f>
        <v>22.660495379948284</v>
      </c>
      <c r="S15" s="82">
        <f>100*(D15+N15)/([8]Cartera_Bruta!D16+'G2.4B'!N15)</f>
        <v>19.755259018000768</v>
      </c>
      <c r="T15" s="82"/>
      <c r="U15" s="84">
        <f>100*(F15+P15)/([8]Cartera_Bruta!G16+'G2.4B'!P15)</f>
        <v>16.186922870391879</v>
      </c>
      <c r="V15" s="48" t="str">
        <f t="shared" si="0"/>
        <v>T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</row>
    <row r="16" spans="1:40" x14ac:dyDescent="0.3">
      <c r="A16" s="43">
        <v>36495</v>
      </c>
      <c r="B16" s="83">
        <f>[8]Cartera_Vencida!B16</f>
        <v>5.9145825513585697</v>
      </c>
      <c r="C16" s="82">
        <f>[8]Cartera_Vencida!C16</f>
        <v>2.92743594310766</v>
      </c>
      <c r="D16" s="82">
        <f>[8]Cartera_Vencida!D16</f>
        <v>6.8242211532861896</v>
      </c>
      <c r="E16" s="82">
        <f>[8]Cartera_Vencida!E16</f>
        <v>0</v>
      </c>
      <c r="F16" s="84">
        <f>[8]Cartera_Vencida!F16</f>
        <v>15.66623964775242</v>
      </c>
      <c r="G16" s="82">
        <f>100*B16/[8]Cartera_Bruta!B17</f>
        <v>9.3344339926094246</v>
      </c>
      <c r="H16" s="82">
        <f>100*C16/[8]Cartera_Bruta!C17</f>
        <v>18.297110582788548</v>
      </c>
      <c r="I16" s="82">
        <f>100*D16/[8]Cartera_Bruta!D17</f>
        <v>18.480621372352132</v>
      </c>
      <c r="J16" s="82"/>
      <c r="K16" s="84">
        <f>+F16*100/[8]Cartera_Bruta!G17</f>
        <v>13.471831706662234</v>
      </c>
      <c r="L16" s="82"/>
      <c r="M16" s="82"/>
      <c r="N16" s="82"/>
      <c r="O16" s="82"/>
      <c r="P16" s="82"/>
      <c r="Q16" s="83">
        <f>100*(B16+L16)/([8]Cartera_Bruta!B17+'G2.4B'!L16)</f>
        <v>9.3344339926094246</v>
      </c>
      <c r="R16" s="82">
        <f>100*(C16+M16)/([8]Cartera_Bruta!C17+'G2.4B'!M16)</f>
        <v>18.297110582788548</v>
      </c>
      <c r="S16" s="82">
        <f>100*(D16+N16)/([8]Cartera_Bruta!D17+'G2.4B'!N16)</f>
        <v>18.480621372352132</v>
      </c>
      <c r="T16" s="82"/>
      <c r="U16" s="84">
        <f>100*(F16+P16)/([8]Cartera_Bruta!G17+'G2.4B'!P16)</f>
        <v>13.471831706662234</v>
      </c>
      <c r="V16" s="48" t="str">
        <f t="shared" si="0"/>
        <v>T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44"/>
      <c r="AI16" s="50"/>
      <c r="AJ16" s="50"/>
      <c r="AK16" s="50"/>
      <c r="AL16" s="50"/>
      <c r="AM16" s="50"/>
      <c r="AN16" s="50"/>
    </row>
    <row r="17" spans="1:34" x14ac:dyDescent="0.3">
      <c r="A17" s="43">
        <v>36526</v>
      </c>
      <c r="B17" s="83">
        <f>[8]Cartera_Vencida!B17</f>
        <v>6.1940218024793197</v>
      </c>
      <c r="C17" s="82">
        <f>[8]Cartera_Vencida!C17</f>
        <v>3.0896117293393996</v>
      </c>
      <c r="D17" s="82">
        <f>[8]Cartera_Vencida!D17</f>
        <v>7.0311611425583092</v>
      </c>
      <c r="E17" s="82">
        <f>[8]Cartera_Vencida!E17</f>
        <v>0</v>
      </c>
      <c r="F17" s="84">
        <f>[8]Cartera_Vencida!F17</f>
        <v>16.314794674377026</v>
      </c>
      <c r="G17" s="82">
        <f>100*B17/[8]Cartera_Bruta!B18</f>
        <v>9.9990865477687922</v>
      </c>
      <c r="H17" s="82">
        <f>100*C17/[8]Cartera_Bruta!C18</f>
        <v>19.426242143856058</v>
      </c>
      <c r="I17" s="82">
        <f>100*D17/[8]Cartera_Bruta!D18</f>
        <v>20.034027364149999</v>
      </c>
      <c r="J17" s="82"/>
      <c r="K17" s="84">
        <f>+F17*100/[8]Cartera_Bruta!G18</f>
        <v>14.444737003007464</v>
      </c>
      <c r="L17" s="82"/>
      <c r="M17" s="82"/>
      <c r="N17" s="82"/>
      <c r="O17" s="82"/>
      <c r="P17" s="82"/>
      <c r="Q17" s="83">
        <f>100*(B17+L17)/([8]Cartera_Bruta!B18+'G2.4B'!L17)</f>
        <v>9.9990865477687922</v>
      </c>
      <c r="R17" s="82">
        <f>100*(C17+M17)/([8]Cartera_Bruta!C18+'G2.4B'!M17)</f>
        <v>19.426242143856058</v>
      </c>
      <c r="S17" s="82">
        <f>100*(D17+N17)/([8]Cartera_Bruta!D18+'G2.4B'!N17)</f>
        <v>20.034027364149999</v>
      </c>
      <c r="T17" s="82"/>
      <c r="U17" s="84">
        <f>100*(F17+P17)/([8]Cartera_Bruta!G18+'G2.4B'!P17)</f>
        <v>14.444737003007464</v>
      </c>
      <c r="V17" s="48" t="str">
        <f t="shared" si="0"/>
        <v>T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</row>
    <row r="18" spans="1:34" x14ac:dyDescent="0.3">
      <c r="A18" s="43">
        <v>36557</v>
      </c>
      <c r="B18" s="83">
        <f>[8]Cartera_Vencida!B18</f>
        <v>5.5306388770805706</v>
      </c>
      <c r="C18" s="82">
        <f>[8]Cartera_Vencida!C18</f>
        <v>2.8353484801341802</v>
      </c>
      <c r="D18" s="82">
        <f>[8]Cartera_Vencida!D18</f>
        <v>5.2672482517305808</v>
      </c>
      <c r="E18" s="82">
        <f>[8]Cartera_Vencida!E18</f>
        <v>0</v>
      </c>
      <c r="F18" s="84">
        <f>[8]Cartera_Vencida!F18</f>
        <v>13.633235608945331</v>
      </c>
      <c r="G18" s="82">
        <f>100*B18/[8]Cartera_Bruta!B19</f>
        <v>9.4029838246340045</v>
      </c>
      <c r="H18" s="82">
        <f>100*C18/[8]Cartera_Bruta!C19</f>
        <v>18.835603840737512</v>
      </c>
      <c r="I18" s="82">
        <f>100*D18/[8]Cartera_Bruta!D19</f>
        <v>16.013366117810531</v>
      </c>
      <c r="J18" s="82"/>
      <c r="K18" s="84">
        <f>+F18*100/[8]Cartera_Bruta!G19</f>
        <v>12.769521789491757</v>
      </c>
      <c r="L18" s="82"/>
      <c r="M18" s="82"/>
      <c r="N18" s="82"/>
      <c r="O18" s="82"/>
      <c r="P18" s="82"/>
      <c r="Q18" s="83">
        <f>100*(B18+L18)/([8]Cartera_Bruta!B19+'G2.4B'!L18)</f>
        <v>9.4029838246340045</v>
      </c>
      <c r="R18" s="82">
        <f>100*(C18+M18)/([8]Cartera_Bruta!C19+'G2.4B'!M18)</f>
        <v>18.835603840737512</v>
      </c>
      <c r="S18" s="82">
        <f>100*(D18+N18)/([8]Cartera_Bruta!D19+'G2.4B'!N18)</f>
        <v>16.013366117810531</v>
      </c>
      <c r="T18" s="82"/>
      <c r="U18" s="84">
        <f>100*(F18+P18)/([8]Cartera_Bruta!G19+'G2.4B'!P18)</f>
        <v>12.769521789491757</v>
      </c>
      <c r="V18" s="48" t="str">
        <f t="shared" si="0"/>
        <v>T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</row>
    <row r="19" spans="1:34" x14ac:dyDescent="0.3">
      <c r="A19" s="43">
        <v>36586</v>
      </c>
      <c r="B19" s="83">
        <f>[8]Cartera_Vencida!B19</f>
        <v>5.3533716350843203</v>
      </c>
      <c r="C19" s="82">
        <f>[8]Cartera_Vencida!C19</f>
        <v>2.5235337515447203</v>
      </c>
      <c r="D19" s="82">
        <f>[8]Cartera_Vencida!D19</f>
        <v>4.6819556115912908</v>
      </c>
      <c r="E19" s="82">
        <f>[8]Cartera_Vencida!E19</f>
        <v>0</v>
      </c>
      <c r="F19" s="84">
        <f>[8]Cartera_Vencida!F19</f>
        <v>12.558860998220332</v>
      </c>
      <c r="G19" s="82">
        <f>100*B19/[8]Cartera_Bruta!B20</f>
        <v>9.2700791948458008</v>
      </c>
      <c r="H19" s="82">
        <f>100*C19/[8]Cartera_Bruta!C20</f>
        <v>17.315225872878475</v>
      </c>
      <c r="I19" s="82">
        <f>100*D19/[8]Cartera_Bruta!D20</f>
        <v>14.823335189144622</v>
      </c>
      <c r="J19" s="82"/>
      <c r="K19" s="84">
        <f>+F19*100/[8]Cartera_Bruta!G20</f>
        <v>12.086515205946698</v>
      </c>
      <c r="L19" s="82"/>
      <c r="M19" s="82"/>
      <c r="N19" s="82"/>
      <c r="O19" s="82"/>
      <c r="P19" s="82"/>
      <c r="Q19" s="83">
        <f>100*(B19+L19)/([8]Cartera_Bruta!B20+'G2.4B'!L19)</f>
        <v>9.2700791948458008</v>
      </c>
      <c r="R19" s="82">
        <f>100*(C19+M19)/([8]Cartera_Bruta!C20+'G2.4B'!M19)</f>
        <v>17.315225872878475</v>
      </c>
      <c r="S19" s="82">
        <f>100*(D19+N19)/([8]Cartera_Bruta!D20+'G2.4B'!N19)</f>
        <v>14.823335189144622</v>
      </c>
      <c r="T19" s="82"/>
      <c r="U19" s="84">
        <f>100*(F19+P19)/([8]Cartera_Bruta!G20+'G2.4B'!P19)</f>
        <v>12.086515205946698</v>
      </c>
      <c r="V19" s="48" t="str">
        <f t="shared" si="0"/>
        <v>T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</row>
    <row r="20" spans="1:34" x14ac:dyDescent="0.3">
      <c r="A20" s="43">
        <v>36617</v>
      </c>
      <c r="B20" s="83">
        <f>[8]Cartera_Vencida!B20</f>
        <v>5.4275564806559897</v>
      </c>
      <c r="C20" s="82">
        <f>[8]Cartera_Vencida!C20</f>
        <v>2.4773230674360298</v>
      </c>
      <c r="D20" s="82">
        <f>[8]Cartera_Vencida!D20</f>
        <v>3.9961861663607996</v>
      </c>
      <c r="E20" s="82">
        <f>[8]Cartera_Vencida!E20</f>
        <v>0</v>
      </c>
      <c r="F20" s="84">
        <f>[8]Cartera_Vencida!F20</f>
        <v>11.90106571445282</v>
      </c>
      <c r="G20" s="82">
        <f>100*B20/[8]Cartera_Bruta!B21</f>
        <v>9.4875177161255717</v>
      </c>
      <c r="H20" s="82">
        <f>100*C20/[8]Cartera_Bruta!C21</f>
        <v>17.139469160968861</v>
      </c>
      <c r="I20" s="82">
        <f>100*D20/[8]Cartera_Bruta!D21</f>
        <v>12.70119022114342</v>
      </c>
      <c r="J20" s="82"/>
      <c r="K20" s="84">
        <f>+F20*100/[8]Cartera_Bruta!G21</f>
        <v>11.54050216539701</v>
      </c>
      <c r="L20" s="82"/>
      <c r="M20" s="82"/>
      <c r="N20" s="82"/>
      <c r="O20" s="82"/>
      <c r="P20" s="82"/>
      <c r="Q20" s="83">
        <f>100*(B20+L20)/([8]Cartera_Bruta!B21+'G2.4B'!L20)</f>
        <v>9.4875177161255717</v>
      </c>
      <c r="R20" s="82">
        <f>100*(C20+M20)/([8]Cartera_Bruta!C21+'G2.4B'!M20)</f>
        <v>17.139469160968861</v>
      </c>
      <c r="S20" s="82">
        <f>100*(D20+N20)/([8]Cartera_Bruta!D21+'G2.4B'!N20)</f>
        <v>12.70119022114342</v>
      </c>
      <c r="T20" s="82"/>
      <c r="U20" s="84">
        <f>100*(F20+P20)/([8]Cartera_Bruta!G21+'G2.4B'!P20)</f>
        <v>11.54050216539701</v>
      </c>
      <c r="V20" s="48" t="str">
        <f t="shared" si="0"/>
        <v>T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</row>
    <row r="21" spans="1:34" x14ac:dyDescent="0.3">
      <c r="A21" s="43">
        <v>36647</v>
      </c>
      <c r="B21" s="83">
        <f>[8]Cartera_Vencida!B21</f>
        <v>5.2974286272302002</v>
      </c>
      <c r="C21" s="82">
        <f>[8]Cartera_Vencida!C21</f>
        <v>2.4002572757690901</v>
      </c>
      <c r="D21" s="82">
        <f>[8]Cartera_Vencida!D21</f>
        <v>3.8068894902851</v>
      </c>
      <c r="E21" s="82">
        <f>[8]Cartera_Vencida!E21</f>
        <v>0</v>
      </c>
      <c r="F21" s="84">
        <f>[8]Cartera_Vencida!F21</f>
        <v>11.504575393284391</v>
      </c>
      <c r="G21" s="82">
        <f>100*B21/[8]Cartera_Bruta!B22</f>
        <v>9.2563928171765113</v>
      </c>
      <c r="H21" s="82">
        <f>100*C21/[8]Cartera_Bruta!C22</f>
        <v>16.610461371050501</v>
      </c>
      <c r="I21" s="82">
        <f>100*D21/[8]Cartera_Bruta!D22</f>
        <v>12.159388395732702</v>
      </c>
      <c r="J21" s="82"/>
      <c r="K21" s="84">
        <f>+F21*100/[8]Cartera_Bruta!G22</f>
        <v>11.170743050788209</v>
      </c>
      <c r="L21" s="82"/>
      <c r="M21" s="82"/>
      <c r="N21" s="82"/>
      <c r="O21" s="82"/>
      <c r="P21" s="82"/>
      <c r="Q21" s="83">
        <f>100*(B21+L21)/([8]Cartera_Bruta!B22+'G2.4B'!L21)</f>
        <v>9.2563928171765113</v>
      </c>
      <c r="R21" s="82">
        <f>100*(C21+M21)/([8]Cartera_Bruta!C22+'G2.4B'!M21)</f>
        <v>16.610461371050501</v>
      </c>
      <c r="S21" s="82">
        <f>100*(D21+N21)/([8]Cartera_Bruta!D22+'G2.4B'!N21)</f>
        <v>12.159388395732702</v>
      </c>
      <c r="T21" s="82"/>
      <c r="U21" s="84">
        <f>100*(F21+P21)/([8]Cartera_Bruta!G22+'G2.4B'!P21)</f>
        <v>11.170743050788209</v>
      </c>
      <c r="V21" s="48" t="str">
        <f t="shared" si="0"/>
        <v>T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</row>
    <row r="22" spans="1:34" x14ac:dyDescent="0.3">
      <c r="A22" s="43">
        <v>36678</v>
      </c>
      <c r="B22" s="83">
        <f>[8]Cartera_Vencida!B22</f>
        <v>4.7125877356939201</v>
      </c>
      <c r="C22" s="82">
        <f>[8]Cartera_Vencida!C22</f>
        <v>2.3587560617307299</v>
      </c>
      <c r="D22" s="82">
        <f>[8]Cartera_Vencida!D22</f>
        <v>3.64667133458746</v>
      </c>
      <c r="E22" s="82">
        <f>[8]Cartera_Vencida!E22</f>
        <v>0</v>
      </c>
      <c r="F22" s="84">
        <f>[8]Cartera_Vencida!F22</f>
        <v>10.718015132012109</v>
      </c>
      <c r="G22" s="82">
        <f>100*B22/[8]Cartera_Bruta!B23</f>
        <v>8.2660656021491459</v>
      </c>
      <c r="H22" s="82">
        <f>100*C22/[8]Cartera_Bruta!C23</f>
        <v>16.192012152018414</v>
      </c>
      <c r="I22" s="82">
        <f>100*D22/[8]Cartera_Bruta!D23</f>
        <v>11.747443552411539</v>
      </c>
      <c r="J22" s="82"/>
      <c r="K22" s="84">
        <f>+F22*100/[8]Cartera_Bruta!G23</f>
        <v>10.444279445289686</v>
      </c>
      <c r="L22" s="82"/>
      <c r="M22" s="82"/>
      <c r="N22" s="82"/>
      <c r="O22" s="82"/>
      <c r="P22" s="82"/>
      <c r="Q22" s="83">
        <f>100*(B22+L22)/([8]Cartera_Bruta!B23+'G2.4B'!L22)</f>
        <v>8.2660656021491459</v>
      </c>
      <c r="R22" s="82">
        <f>100*(C22+M22)/([8]Cartera_Bruta!C23+'G2.4B'!M22)</f>
        <v>16.192012152018414</v>
      </c>
      <c r="S22" s="82">
        <f>100*(D22+N22)/([8]Cartera_Bruta!D23+'G2.4B'!N22)</f>
        <v>11.747443552411539</v>
      </c>
      <c r="T22" s="82"/>
      <c r="U22" s="84">
        <f>100*(F22+P22)/([8]Cartera_Bruta!G23+'G2.4B'!P22)</f>
        <v>10.444279445289686</v>
      </c>
      <c r="V22" s="48" t="str">
        <f t="shared" si="0"/>
        <v>T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</row>
    <row r="23" spans="1:34" x14ac:dyDescent="0.3">
      <c r="A23" s="43">
        <v>36708</v>
      </c>
      <c r="B23" s="83">
        <f>[8]Cartera_Vencida!B23</f>
        <v>4.9967970690837298</v>
      </c>
      <c r="C23" s="82">
        <f>[8]Cartera_Vencida!C23</f>
        <v>2.4563929515525196</v>
      </c>
      <c r="D23" s="82">
        <f>[8]Cartera_Vencida!D23</f>
        <v>4.1944913599251397</v>
      </c>
      <c r="E23" s="82">
        <f>[8]Cartera_Vencida!E23</f>
        <v>0</v>
      </c>
      <c r="F23" s="84">
        <f>[8]Cartera_Vencida!F23</f>
        <v>11.647681380561389</v>
      </c>
      <c r="G23" s="82">
        <f>100*B23/[8]Cartera_Bruta!B24</f>
        <v>8.8430619247658466</v>
      </c>
      <c r="H23" s="82">
        <f>100*C23/[8]Cartera_Bruta!C24</f>
        <v>16.749915934179008</v>
      </c>
      <c r="I23" s="82">
        <f>100*D23/[8]Cartera_Bruta!D24</f>
        <v>13.655623452909879</v>
      </c>
      <c r="J23" s="82"/>
      <c r="K23" s="84">
        <f>+F23*100/[8]Cartera_Bruta!G24</f>
        <v>11.432004253455659</v>
      </c>
      <c r="L23" s="82"/>
      <c r="M23" s="82"/>
      <c r="N23" s="82"/>
      <c r="O23" s="82"/>
      <c r="P23" s="82"/>
      <c r="Q23" s="83">
        <f>100*(B23+L23)/([8]Cartera_Bruta!B24+'G2.4B'!L23)</f>
        <v>8.8430619247658466</v>
      </c>
      <c r="R23" s="82">
        <f>100*(C23+M23)/([8]Cartera_Bruta!C24+'G2.4B'!M23)</f>
        <v>16.749915934179008</v>
      </c>
      <c r="S23" s="82">
        <f>100*(D23+N23)/([8]Cartera_Bruta!D24+'G2.4B'!N23)</f>
        <v>13.655623452909879</v>
      </c>
      <c r="T23" s="82"/>
      <c r="U23" s="84">
        <f>100*(F23+P23)/([8]Cartera_Bruta!G24+'G2.4B'!P23)</f>
        <v>11.432004253455659</v>
      </c>
      <c r="V23" s="48" t="str">
        <f t="shared" si="0"/>
        <v>T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</row>
    <row r="24" spans="1:34" x14ac:dyDescent="0.3">
      <c r="A24" s="43">
        <v>36739</v>
      </c>
      <c r="B24" s="83">
        <f>[8]Cartera_Vencida!B24</f>
        <v>5.0175674297483797</v>
      </c>
      <c r="C24" s="82">
        <f>[8]Cartera_Vencida!C24</f>
        <v>2.3540188106512798</v>
      </c>
      <c r="D24" s="82">
        <f>[8]Cartera_Vencida!D24</f>
        <v>4.4985902444974295</v>
      </c>
      <c r="E24" s="82">
        <f>[8]Cartera_Vencida!E24</f>
        <v>0</v>
      </c>
      <c r="F24" s="84">
        <f>[8]Cartera_Vencida!F24</f>
        <v>11.87017648489709</v>
      </c>
      <c r="G24" s="82">
        <f>100*B24/[8]Cartera_Bruta!B25</f>
        <v>8.8007635678473637</v>
      </c>
      <c r="H24" s="82">
        <f>100*C24/[8]Cartera_Bruta!C25</f>
        <v>15.961027998094725</v>
      </c>
      <c r="I24" s="82">
        <f>100*D24/[8]Cartera_Bruta!D25</f>
        <v>15.754353309991737</v>
      </c>
      <c r="J24" s="82"/>
      <c r="K24" s="84">
        <f>+F24*100/[8]Cartera_Bruta!G25</f>
        <v>11.832785909283082</v>
      </c>
      <c r="L24" s="82"/>
      <c r="M24" s="82"/>
      <c r="N24" s="82"/>
      <c r="O24" s="82"/>
      <c r="P24" s="82"/>
      <c r="Q24" s="83">
        <f>100*(B24+L24)/([8]Cartera_Bruta!B25+'G2.4B'!L24)</f>
        <v>8.8007635678473637</v>
      </c>
      <c r="R24" s="82">
        <f>100*(C24+M24)/([8]Cartera_Bruta!C25+'G2.4B'!M24)</f>
        <v>15.961027998094725</v>
      </c>
      <c r="S24" s="82">
        <f>100*(D24+N24)/([8]Cartera_Bruta!D25+'G2.4B'!N24)</f>
        <v>15.754353309991737</v>
      </c>
      <c r="T24" s="82"/>
      <c r="U24" s="84">
        <f>100*(F24+P24)/([8]Cartera_Bruta!G25+'G2.4B'!P24)</f>
        <v>11.832785909283082</v>
      </c>
      <c r="V24" s="48" t="str">
        <f t="shared" si="0"/>
        <v>T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</row>
    <row r="25" spans="1:34" x14ac:dyDescent="0.3">
      <c r="A25" s="43">
        <v>36770</v>
      </c>
      <c r="B25" s="83">
        <f>[8]Cartera_Vencida!B25</f>
        <v>4.8429339832939897</v>
      </c>
      <c r="C25" s="82">
        <f>[8]Cartera_Vencida!C25</f>
        <v>2.2263548841602203</v>
      </c>
      <c r="D25" s="82">
        <f>[8]Cartera_Vencida!D25</f>
        <v>5.13170681625156</v>
      </c>
      <c r="E25" s="82">
        <f>[8]Cartera_Vencida!E25</f>
        <v>0</v>
      </c>
      <c r="F25" s="84">
        <f>[8]Cartera_Vencida!F25</f>
        <v>12.20099568370577</v>
      </c>
      <c r="G25" s="82">
        <f>100*B25/[8]Cartera_Bruta!B26</f>
        <v>8.4764500276229118</v>
      </c>
      <c r="H25" s="82">
        <f>100*C25/[8]Cartera_Bruta!C26</f>
        <v>15.254348196106658</v>
      </c>
      <c r="I25" s="82">
        <f>100*D25/[8]Cartera_Bruta!D26</f>
        <v>17.935122605608264</v>
      </c>
      <c r="J25" s="82"/>
      <c r="K25" s="84">
        <f>+F25*100/[8]Cartera_Bruta!G26</f>
        <v>12.159472756937539</v>
      </c>
      <c r="L25" s="82"/>
      <c r="M25" s="82"/>
      <c r="N25" s="82"/>
      <c r="O25" s="82"/>
      <c r="P25" s="82"/>
      <c r="Q25" s="83">
        <f>100*(B25+L25)/([8]Cartera_Bruta!B26+'G2.4B'!L25)</f>
        <v>8.4764500276229118</v>
      </c>
      <c r="R25" s="82">
        <f>100*(C25+M25)/([8]Cartera_Bruta!C26+'G2.4B'!M25)</f>
        <v>15.254348196106658</v>
      </c>
      <c r="S25" s="82">
        <f>100*(D25+N25)/([8]Cartera_Bruta!D26+'G2.4B'!N25)</f>
        <v>17.935122605608264</v>
      </c>
      <c r="T25" s="82"/>
      <c r="U25" s="84">
        <f>100*(F25+P25)/([8]Cartera_Bruta!G26+'G2.4B'!P25)</f>
        <v>12.159472756937539</v>
      </c>
      <c r="V25" s="48" t="str">
        <f t="shared" si="0"/>
        <v>T</v>
      </c>
      <c r="W25" s="148" t="s">
        <v>0</v>
      </c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</row>
    <row r="26" spans="1:34" x14ac:dyDescent="0.3">
      <c r="A26" s="43">
        <v>36800</v>
      </c>
      <c r="B26" s="83">
        <f>[8]Cartera_Vencida!B26</f>
        <v>4.30129431793815</v>
      </c>
      <c r="C26" s="82">
        <f>[8]Cartera_Vencida!C26</f>
        <v>1.95562380628106</v>
      </c>
      <c r="D26" s="82">
        <f>[8]Cartera_Vencida!D26</f>
        <v>4.9417036908643706</v>
      </c>
      <c r="E26" s="82">
        <f>[8]Cartera_Vencida!E26</f>
        <v>0</v>
      </c>
      <c r="F26" s="84">
        <f>[8]Cartera_Vencida!F26</f>
        <v>11.19862181508358</v>
      </c>
      <c r="G26" s="82">
        <f>100*B26/[8]Cartera_Bruta!B27</f>
        <v>7.6597969377046073</v>
      </c>
      <c r="H26" s="82">
        <f>100*C26/[8]Cartera_Bruta!C27</f>
        <v>13.681855770463509</v>
      </c>
      <c r="I26" s="82">
        <f>100*D26/[8]Cartera_Bruta!D27</f>
        <v>17.791121248905274</v>
      </c>
      <c r="J26" s="82"/>
      <c r="K26" s="84">
        <f>+F26*100/[8]Cartera_Bruta!G27</f>
        <v>11.40111150062838</v>
      </c>
      <c r="L26" s="82"/>
      <c r="M26" s="82"/>
      <c r="N26" s="82"/>
      <c r="O26" s="82"/>
      <c r="P26" s="82"/>
      <c r="Q26" s="83">
        <f>100*(B26+L26)/([8]Cartera_Bruta!B27+'G2.4B'!L26)</f>
        <v>7.6597969377046073</v>
      </c>
      <c r="R26" s="82">
        <f>100*(C26+M26)/([8]Cartera_Bruta!C27+'G2.4B'!M26)</f>
        <v>13.681855770463509</v>
      </c>
      <c r="S26" s="82">
        <f>100*(D26+N26)/([8]Cartera_Bruta!D27+'G2.4B'!N26)</f>
        <v>17.791121248905274</v>
      </c>
      <c r="T26" s="82"/>
      <c r="U26" s="84">
        <f>100*(F26+P26)/([8]Cartera_Bruta!G27+'G2.4B'!P26)</f>
        <v>11.40111150062838</v>
      </c>
      <c r="V26" s="48" t="str">
        <f t="shared" si="0"/>
        <v>T</v>
      </c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</row>
    <row r="27" spans="1:34" x14ac:dyDescent="0.3">
      <c r="A27" s="43">
        <v>36831</v>
      </c>
      <c r="B27" s="83">
        <f>[8]Cartera_Vencida!B27</f>
        <v>3.9553373630053503</v>
      </c>
      <c r="C27" s="82">
        <f>[8]Cartera_Vencida!C27</f>
        <v>1.9436066567303301</v>
      </c>
      <c r="D27" s="82">
        <f>[8]Cartera_Vencida!D27</f>
        <v>5.2349724365455002</v>
      </c>
      <c r="E27" s="82">
        <f>[8]Cartera_Vencida!E27</f>
        <v>0</v>
      </c>
      <c r="F27" s="84">
        <f>[8]Cartera_Vencida!F27</f>
        <v>11.133916456281181</v>
      </c>
      <c r="G27" s="82">
        <f>100*B27/[8]Cartera_Bruta!B28</f>
        <v>7.0431694549598216</v>
      </c>
      <c r="H27" s="82">
        <f>100*C27/[8]Cartera_Bruta!C28</f>
        <v>13.615248184163647</v>
      </c>
      <c r="I27" s="82">
        <f>100*D27/[8]Cartera_Bruta!D28</f>
        <v>18.99924202099713</v>
      </c>
      <c r="J27" s="82"/>
      <c r="K27" s="84">
        <f>+F27*100/[8]Cartera_Bruta!G28</f>
        <v>11.362612631169057</v>
      </c>
      <c r="L27" s="82"/>
      <c r="M27" s="82"/>
      <c r="N27" s="82"/>
      <c r="O27" s="82"/>
      <c r="P27" s="82"/>
      <c r="Q27" s="83">
        <f>100*(B27+L27)/([8]Cartera_Bruta!B28+'G2.4B'!L27)</f>
        <v>7.0431694549598216</v>
      </c>
      <c r="R27" s="82">
        <f>100*(C27+M27)/([8]Cartera_Bruta!C28+'G2.4B'!M27)</f>
        <v>13.615248184163647</v>
      </c>
      <c r="S27" s="82">
        <f>100*(D27+N27)/([8]Cartera_Bruta!D28+'G2.4B'!N27)</f>
        <v>18.99924202099713</v>
      </c>
      <c r="T27" s="82"/>
      <c r="U27" s="84">
        <f>100*(F27+P27)/([8]Cartera_Bruta!G28+'G2.4B'!P27)</f>
        <v>11.362612631169057</v>
      </c>
      <c r="V27" s="48" t="str">
        <f t="shared" si="0"/>
        <v>T</v>
      </c>
    </row>
    <row r="28" spans="1:34" x14ac:dyDescent="0.3">
      <c r="A28" s="43">
        <v>36861</v>
      </c>
      <c r="B28" s="83">
        <f>[8]Cartera_Vencida!B28</f>
        <v>3.69462176528112</v>
      </c>
      <c r="C28" s="82">
        <f>[8]Cartera_Vencida!C28</f>
        <v>1.69679892665901</v>
      </c>
      <c r="D28" s="82">
        <f>[8]Cartera_Vencida!D28</f>
        <v>5.2474729410248804</v>
      </c>
      <c r="E28" s="82">
        <f>[8]Cartera_Vencida!E28</f>
        <v>0</v>
      </c>
      <c r="F28" s="84">
        <f>[8]Cartera_Vencida!F28</f>
        <v>10.638893632965011</v>
      </c>
      <c r="G28" s="82">
        <f>100*B28/[8]Cartera_Bruta!B29</f>
        <v>6.497018700249523</v>
      </c>
      <c r="H28" s="82">
        <f>100*C28/[8]Cartera_Bruta!C29</f>
        <v>12.073145428806791</v>
      </c>
      <c r="I28" s="82">
        <f>100*D28/[8]Cartera_Bruta!D29</f>
        <v>19.272157008134375</v>
      </c>
      <c r="J28" s="82"/>
      <c r="K28" s="84">
        <f>+F28*100/[8]Cartera_Bruta!G29</f>
        <v>10.839533342735727</v>
      </c>
      <c r="L28" s="82"/>
      <c r="M28" s="82"/>
      <c r="N28" s="82"/>
      <c r="O28" s="82"/>
      <c r="P28" s="82"/>
      <c r="Q28" s="83">
        <f>100*(B28+L28)/([8]Cartera_Bruta!B29+'G2.4B'!L28)</f>
        <v>6.497018700249523</v>
      </c>
      <c r="R28" s="82">
        <f>100*(C28+M28)/([8]Cartera_Bruta!C29+'G2.4B'!M28)</f>
        <v>12.073145428806791</v>
      </c>
      <c r="S28" s="82">
        <f>100*(D28+N28)/([8]Cartera_Bruta!D29+'G2.4B'!N28)</f>
        <v>19.272157008134375</v>
      </c>
      <c r="T28" s="82"/>
      <c r="U28" s="84">
        <f>100*(F28+P28)/([8]Cartera_Bruta!G29+'G2.4B'!P28)</f>
        <v>10.839533342735727</v>
      </c>
      <c r="V28" s="48" t="str">
        <f t="shared" si="0"/>
        <v>T</v>
      </c>
    </row>
    <row r="29" spans="1:34" x14ac:dyDescent="0.3">
      <c r="A29" s="43">
        <v>36892</v>
      </c>
      <c r="B29" s="83">
        <f>[8]Cartera_Vencida!B29</f>
        <v>3.87164903306694</v>
      </c>
      <c r="C29" s="82">
        <f>[8]Cartera_Vencida!C29</f>
        <v>1.6949417368337401</v>
      </c>
      <c r="D29" s="82">
        <f>[8]Cartera_Vencida!D29</f>
        <v>5.3486566697394604</v>
      </c>
      <c r="E29" s="82">
        <f>[8]Cartera_Vencida!E29</f>
        <v>0</v>
      </c>
      <c r="F29" s="84">
        <f>[8]Cartera_Vencida!F29</f>
        <v>10.91524743964014</v>
      </c>
      <c r="G29" s="82">
        <f>100*B29/[8]Cartera_Bruta!B30</f>
        <v>6.9402231360747946</v>
      </c>
      <c r="H29" s="82">
        <f>100*C29/[8]Cartera_Bruta!C30</f>
        <v>12.090886905593543</v>
      </c>
      <c r="I29" s="82">
        <f>100*D29/[8]Cartera_Bruta!D30</f>
        <v>19.874862440137747</v>
      </c>
      <c r="J29" s="82"/>
      <c r="K29" s="84">
        <f>+F29*100/[8]Cartera_Bruta!G30</f>
        <v>11.285914847414814</v>
      </c>
      <c r="L29" s="82"/>
      <c r="M29" s="82"/>
      <c r="N29" s="82"/>
      <c r="O29" s="82"/>
      <c r="P29" s="82"/>
      <c r="Q29" s="83">
        <f>100*(B29+L29)/([8]Cartera_Bruta!B30+'G2.4B'!L29)</f>
        <v>6.9402231360747946</v>
      </c>
      <c r="R29" s="82">
        <f>100*(C29+M29)/([8]Cartera_Bruta!C30+'G2.4B'!M29)</f>
        <v>12.090886905593543</v>
      </c>
      <c r="S29" s="82">
        <f>100*(D29+N29)/([8]Cartera_Bruta!D30+'G2.4B'!N29)</f>
        <v>19.874862440137747</v>
      </c>
      <c r="T29" s="82"/>
      <c r="U29" s="84">
        <f>100*(F29+P29)/([8]Cartera_Bruta!G30+'G2.4B'!P29)</f>
        <v>11.285914847414814</v>
      </c>
      <c r="V29" s="48" t="str">
        <f t="shared" si="0"/>
        <v>T</v>
      </c>
    </row>
    <row r="30" spans="1:34" x14ac:dyDescent="0.3">
      <c r="A30" s="43">
        <v>36923</v>
      </c>
      <c r="B30" s="83">
        <f>[8]Cartera_Vencida!B30</f>
        <v>3.64368888919453</v>
      </c>
      <c r="C30" s="82">
        <f>[8]Cartera_Vencida!C30</f>
        <v>1.72109093248569</v>
      </c>
      <c r="D30" s="82">
        <f>[8]Cartera_Vencida!D30</f>
        <v>5.3675911982244999</v>
      </c>
      <c r="E30" s="82">
        <f>[8]Cartera_Vencida!E30</f>
        <v>0</v>
      </c>
      <c r="F30" s="84">
        <f>[8]Cartera_Vencida!F30</f>
        <v>10.73237101990472</v>
      </c>
      <c r="G30" s="82">
        <f>100*B30/[8]Cartera_Bruta!B31</f>
        <v>6.6030098876500061</v>
      </c>
      <c r="H30" s="82">
        <f>100*C30/[8]Cartera_Bruta!C31</f>
        <v>12.324898464445994</v>
      </c>
      <c r="I30" s="82">
        <f>100*D30/[8]Cartera_Bruta!D31</f>
        <v>20.288607348857088</v>
      </c>
      <c r="J30" s="82"/>
      <c r="K30" s="84">
        <f>+F30*100/[8]Cartera_Bruta!G31</f>
        <v>11.22600458464766</v>
      </c>
      <c r="L30" s="82"/>
      <c r="M30" s="82"/>
      <c r="N30" s="82"/>
      <c r="O30" s="82"/>
      <c r="P30" s="82"/>
      <c r="Q30" s="83">
        <f>100*(B30+L30)/([8]Cartera_Bruta!B31+'G2.4B'!L30)</f>
        <v>6.6030098876500061</v>
      </c>
      <c r="R30" s="82">
        <f>100*(C30+M30)/([8]Cartera_Bruta!C31+'G2.4B'!M30)</f>
        <v>12.324898464445994</v>
      </c>
      <c r="S30" s="82">
        <f>100*(D30+N30)/([8]Cartera_Bruta!D31+'G2.4B'!N30)</f>
        <v>20.288607348857088</v>
      </c>
      <c r="T30" s="82"/>
      <c r="U30" s="84">
        <f>100*(F30+P30)/([8]Cartera_Bruta!G31+'G2.4B'!P30)</f>
        <v>11.22600458464766</v>
      </c>
      <c r="V30" s="48" t="str">
        <f t="shared" si="0"/>
        <v>T</v>
      </c>
    </row>
    <row r="31" spans="1:34" x14ac:dyDescent="0.3">
      <c r="A31" s="43">
        <v>36951</v>
      </c>
      <c r="B31" s="83">
        <f>[8]Cartera_Vencida!B31</f>
        <v>3.56449469463531</v>
      </c>
      <c r="C31" s="82">
        <f>[8]Cartera_Vencida!C31</f>
        <v>1.5876065420363099</v>
      </c>
      <c r="D31" s="82">
        <f>[8]Cartera_Vencida!D31</f>
        <v>5.4333579121965396</v>
      </c>
      <c r="E31" s="82">
        <f>[8]Cartera_Vencida!E31</f>
        <v>0</v>
      </c>
      <c r="F31" s="84">
        <f>[8]Cartera_Vencida!F31</f>
        <v>10.585459148868161</v>
      </c>
      <c r="G31" s="82">
        <f>100*B31/[8]Cartera_Bruta!B32</f>
        <v>6.5124664677712856</v>
      </c>
      <c r="H31" s="82">
        <f>100*C31/[8]Cartera_Bruta!C32</f>
        <v>11.637126844606323</v>
      </c>
      <c r="I31" s="82">
        <f>100*D31/[8]Cartera_Bruta!D32</f>
        <v>20.68216689850868</v>
      </c>
      <c r="J31" s="82"/>
      <c r="K31" s="84">
        <f>+F31*100/[8]Cartera_Bruta!G32</f>
        <v>11.184176902338393</v>
      </c>
      <c r="L31" s="82"/>
      <c r="M31" s="82"/>
      <c r="N31" s="82"/>
      <c r="O31" s="82"/>
      <c r="P31" s="82"/>
      <c r="Q31" s="83">
        <f>100*(B31+L31)/([8]Cartera_Bruta!B32+'G2.4B'!L31)</f>
        <v>6.5124664677712856</v>
      </c>
      <c r="R31" s="82">
        <f>100*(C31+M31)/([8]Cartera_Bruta!C32+'G2.4B'!M31)</f>
        <v>11.637126844606323</v>
      </c>
      <c r="S31" s="82">
        <f>100*(D31+N31)/([8]Cartera_Bruta!D32+'G2.4B'!N31)</f>
        <v>20.68216689850868</v>
      </c>
      <c r="T31" s="82"/>
      <c r="U31" s="84">
        <f>100*(F31+P31)/([8]Cartera_Bruta!G32+'G2.4B'!P31)</f>
        <v>11.184176902338393</v>
      </c>
      <c r="V31" s="48" t="str">
        <f t="shared" si="0"/>
        <v>T</v>
      </c>
    </row>
    <row r="32" spans="1:34" x14ac:dyDescent="0.3">
      <c r="A32" s="43">
        <v>36982</v>
      </c>
      <c r="B32" s="83">
        <f>[8]Cartera_Vencida!B32</f>
        <v>3.60589503315355</v>
      </c>
      <c r="C32" s="82">
        <f>[8]Cartera_Vencida!C32</f>
        <v>1.6354419969779501</v>
      </c>
      <c r="D32" s="82">
        <f>[8]Cartera_Vencida!D32</f>
        <v>5.0960870053636906</v>
      </c>
      <c r="E32" s="82">
        <f>[8]Cartera_Vencida!E32</f>
        <v>0</v>
      </c>
      <c r="F32" s="84">
        <f>[8]Cartera_Vencida!F32</f>
        <v>10.337424035495191</v>
      </c>
      <c r="G32" s="82">
        <f>100*B32/[8]Cartera_Bruta!B33</f>
        <v>6.7099759685274041</v>
      </c>
      <c r="H32" s="82">
        <f>100*C32/[8]Cartera_Bruta!C33</f>
        <v>12.1615221404282</v>
      </c>
      <c r="I32" s="82">
        <f>100*D32/[8]Cartera_Bruta!D33</f>
        <v>19.70824629617049</v>
      </c>
      <c r="J32" s="82"/>
      <c r="K32" s="84">
        <f>+F32*100/[8]Cartera_Bruta!G33</f>
        <v>11.110178384630956</v>
      </c>
      <c r="L32" s="82"/>
      <c r="M32" s="82"/>
      <c r="N32" s="82"/>
      <c r="O32" s="82"/>
      <c r="P32" s="82"/>
      <c r="Q32" s="83">
        <f>100*(B32+L32)/([8]Cartera_Bruta!B33+'G2.4B'!L32)</f>
        <v>6.7099759685274041</v>
      </c>
      <c r="R32" s="82">
        <f>100*(C32+M32)/([8]Cartera_Bruta!C33+'G2.4B'!M32)</f>
        <v>12.1615221404282</v>
      </c>
      <c r="S32" s="82">
        <f>100*(D32+N32)/([8]Cartera_Bruta!D33+'G2.4B'!N32)</f>
        <v>19.70824629617049</v>
      </c>
      <c r="T32" s="82"/>
      <c r="U32" s="84">
        <f>100*(F32+P32)/([8]Cartera_Bruta!G33+'G2.4B'!P32)</f>
        <v>11.110178384630956</v>
      </c>
      <c r="V32" s="48" t="str">
        <f t="shared" si="0"/>
        <v>T</v>
      </c>
    </row>
    <row r="33" spans="1:23" x14ac:dyDescent="0.3">
      <c r="A33" s="43">
        <v>37012</v>
      </c>
      <c r="B33" s="83">
        <f>[8]Cartera_Vencida!B33</f>
        <v>3.5890543237078001</v>
      </c>
      <c r="C33" s="82">
        <f>[8]Cartera_Vencida!C33</f>
        <v>1.4958223291673101</v>
      </c>
      <c r="D33" s="82">
        <f>[8]Cartera_Vencida!D33</f>
        <v>5.0279331540915004</v>
      </c>
      <c r="E33" s="82">
        <f>[8]Cartera_Vencida!E33</f>
        <v>0</v>
      </c>
      <c r="F33" s="84">
        <f>[8]Cartera_Vencida!F33</f>
        <v>10.112809806966609</v>
      </c>
      <c r="G33" s="82">
        <f>100*B33/[8]Cartera_Bruta!B34</f>
        <v>6.6884890001463617</v>
      </c>
      <c r="H33" s="82">
        <f>100*C33/[8]Cartera_Bruta!C34</f>
        <v>11.021193613721282</v>
      </c>
      <c r="I33" s="82">
        <f>100*D33/[8]Cartera_Bruta!D34</f>
        <v>19.333054376212143</v>
      </c>
      <c r="J33" s="82"/>
      <c r="K33" s="84">
        <f>+F33*100/[8]Cartera_Bruta!G34</f>
        <v>10.846077570373842</v>
      </c>
      <c r="L33" s="82"/>
      <c r="M33" s="82"/>
      <c r="N33" s="82"/>
      <c r="O33" s="82"/>
      <c r="P33" s="82"/>
      <c r="Q33" s="83">
        <f>100*(B33+L33)/([8]Cartera_Bruta!B34+'G2.4B'!L33)</f>
        <v>6.6884890001463617</v>
      </c>
      <c r="R33" s="82">
        <f>100*(C33+M33)/([8]Cartera_Bruta!C34+'G2.4B'!M33)</f>
        <v>11.021193613721282</v>
      </c>
      <c r="S33" s="82">
        <f>100*(D33+N33)/([8]Cartera_Bruta!D34+'G2.4B'!N33)</f>
        <v>19.333054376212143</v>
      </c>
      <c r="T33" s="82"/>
      <c r="U33" s="84">
        <f>100*(F33+P33)/([8]Cartera_Bruta!G34+'G2.4B'!P33)</f>
        <v>10.846077570373842</v>
      </c>
      <c r="V33" s="48" t="str">
        <f t="shared" si="0"/>
        <v>T</v>
      </c>
    </row>
    <row r="34" spans="1:23" x14ac:dyDescent="0.3">
      <c r="A34" s="43">
        <v>37043</v>
      </c>
      <c r="B34" s="83">
        <f>[8]Cartera_Vencida!B34</f>
        <v>3.42758977012216</v>
      </c>
      <c r="C34" s="82">
        <f>[8]Cartera_Vencida!C34</f>
        <v>1.39885816420164</v>
      </c>
      <c r="D34" s="82">
        <f>[8]Cartera_Vencida!D34</f>
        <v>5.0477470363691399</v>
      </c>
      <c r="E34" s="82">
        <f>[8]Cartera_Vencida!E34</f>
        <v>0</v>
      </c>
      <c r="F34" s="84">
        <f>[8]Cartera_Vencida!F34</f>
        <v>9.8741949706929404</v>
      </c>
      <c r="G34" s="82">
        <f>100*B34/[8]Cartera_Bruta!B35</f>
        <v>6.3100191192317023</v>
      </c>
      <c r="H34" s="82">
        <f>100*C34/[8]Cartera_Bruta!C35</f>
        <v>10.312329945751433</v>
      </c>
      <c r="I34" s="82">
        <f>100*D34/[8]Cartera_Bruta!D35</f>
        <v>19.47325595703705</v>
      </c>
      <c r="J34" s="82"/>
      <c r="K34" s="84">
        <f>+F34*100/[8]Cartera_Bruta!G35</f>
        <v>10.526171036873352</v>
      </c>
      <c r="L34" s="82"/>
      <c r="M34" s="82"/>
      <c r="N34" s="82"/>
      <c r="O34" s="82"/>
      <c r="P34" s="82"/>
      <c r="Q34" s="83">
        <f>100*(B34+L34)/([8]Cartera_Bruta!B35+'G2.4B'!L34)</f>
        <v>6.3100191192317023</v>
      </c>
      <c r="R34" s="82">
        <f>100*(C34+M34)/([8]Cartera_Bruta!C35+'G2.4B'!M34)</f>
        <v>10.312329945751433</v>
      </c>
      <c r="S34" s="82">
        <f>100*(D34+N34)/([8]Cartera_Bruta!D35+'G2.4B'!N34)</f>
        <v>19.47325595703705</v>
      </c>
      <c r="T34" s="82"/>
      <c r="U34" s="84">
        <f>100*(F34+P34)/([8]Cartera_Bruta!G35+'G2.4B'!P34)</f>
        <v>10.526171036873352</v>
      </c>
      <c r="V34" s="48" t="str">
        <f t="shared" si="0"/>
        <v>T</v>
      </c>
    </row>
    <row r="35" spans="1:23" x14ac:dyDescent="0.3">
      <c r="A35" s="43">
        <v>37073</v>
      </c>
      <c r="B35" s="83">
        <f>[8]Cartera_Vencida!B35</f>
        <v>3.41060861671949</v>
      </c>
      <c r="C35" s="82">
        <f>[8]Cartera_Vencida!C35</f>
        <v>1.4389163886187601</v>
      </c>
      <c r="D35" s="82">
        <f>[8]Cartera_Vencida!D35</f>
        <v>5.0552430483008006</v>
      </c>
      <c r="E35" s="82">
        <f>[8]Cartera_Vencida!E35</f>
        <v>0</v>
      </c>
      <c r="F35" s="84">
        <f>[8]Cartera_Vencida!F35</f>
        <v>9.9047680536390512</v>
      </c>
      <c r="G35" s="82">
        <f>100*B35/[8]Cartera_Bruta!B36</f>
        <v>6.3323537981259257</v>
      </c>
      <c r="H35" s="82">
        <f>100*C35/[8]Cartera_Bruta!C36</f>
        <v>10.495443658268471</v>
      </c>
      <c r="I35" s="82">
        <f>100*D35/[8]Cartera_Bruta!D36</f>
        <v>19.582519178471678</v>
      </c>
      <c r="J35" s="82"/>
      <c r="K35" s="84">
        <f>+F35*100/[8]Cartera_Bruta!G36</f>
        <v>10.606375517788104</v>
      </c>
      <c r="L35" s="82"/>
      <c r="M35" s="82"/>
      <c r="N35" s="82"/>
      <c r="O35" s="82"/>
      <c r="P35" s="82"/>
      <c r="Q35" s="83">
        <f>100*(B35+L35)/([8]Cartera_Bruta!B36+'G2.4B'!L35)</f>
        <v>6.3323537981259257</v>
      </c>
      <c r="R35" s="82">
        <f>100*(C35+M35)/([8]Cartera_Bruta!C36+'G2.4B'!M35)</f>
        <v>10.495443658268471</v>
      </c>
      <c r="S35" s="82">
        <f>100*(D35+N35)/([8]Cartera_Bruta!D36+'G2.4B'!N35)</f>
        <v>19.582519178471678</v>
      </c>
      <c r="T35" s="82"/>
      <c r="U35" s="84">
        <f>100*(F35+P35)/([8]Cartera_Bruta!G36+'G2.4B'!P35)</f>
        <v>10.606375517788104</v>
      </c>
      <c r="V35" s="48" t="str">
        <f t="shared" si="0"/>
        <v>T</v>
      </c>
    </row>
    <row r="36" spans="1:23" x14ac:dyDescent="0.3">
      <c r="A36" s="43">
        <v>37104</v>
      </c>
      <c r="B36" s="83">
        <f>[8]Cartera_Vencida!B36</f>
        <v>3.3456435826486302</v>
      </c>
      <c r="C36" s="82">
        <f>[8]Cartera_Vencida!C36</f>
        <v>1.3560551404738901</v>
      </c>
      <c r="D36" s="82">
        <f>[8]Cartera_Vencida!D36</f>
        <v>5.1641381574521601</v>
      </c>
      <c r="E36" s="82">
        <f>[8]Cartera_Vencida!E36</f>
        <v>0</v>
      </c>
      <c r="F36" s="84">
        <f>[8]Cartera_Vencida!F36</f>
        <v>9.8658368805746797</v>
      </c>
      <c r="G36" s="82">
        <f>100*B36/[8]Cartera_Bruta!B37</f>
        <v>6.2146478665001519</v>
      </c>
      <c r="H36" s="82">
        <f>100*C36/[8]Cartera_Bruta!C37</f>
        <v>9.8623531252592347</v>
      </c>
      <c r="I36" s="82">
        <f>100*D36/[8]Cartera_Bruta!D37</f>
        <v>20.197939995606092</v>
      </c>
      <c r="J36" s="82"/>
      <c r="K36" s="84">
        <f>+F36*100/[8]Cartera_Bruta!G37</f>
        <v>10.591086249220087</v>
      </c>
      <c r="L36" s="82"/>
      <c r="M36" s="82"/>
      <c r="N36" s="82"/>
      <c r="O36" s="82"/>
      <c r="P36" s="82"/>
      <c r="Q36" s="83">
        <f>100*(B36+L36)/([8]Cartera_Bruta!B37+'G2.4B'!L36)</f>
        <v>6.2146478665001519</v>
      </c>
      <c r="R36" s="82">
        <f>100*(C36+M36)/([8]Cartera_Bruta!C37+'G2.4B'!M36)</f>
        <v>9.8623531252592347</v>
      </c>
      <c r="S36" s="82">
        <f>100*(D36+N36)/([8]Cartera_Bruta!D37+'G2.4B'!N36)</f>
        <v>20.197939995606092</v>
      </c>
      <c r="T36" s="82"/>
      <c r="U36" s="84">
        <f>100*(F36+P36)/([8]Cartera_Bruta!G37+'G2.4B'!P36)</f>
        <v>10.591086249220087</v>
      </c>
      <c r="V36" s="48" t="str">
        <f t="shared" si="0"/>
        <v>T</v>
      </c>
    </row>
    <row r="37" spans="1:23" x14ac:dyDescent="0.3">
      <c r="A37" s="43">
        <v>37135</v>
      </c>
      <c r="B37" s="83">
        <f>[8]Cartera_Vencida!B37</f>
        <v>3.12747671345485</v>
      </c>
      <c r="C37" s="82">
        <f>[8]Cartera_Vencida!C37</f>
        <v>1.33859933513096</v>
      </c>
      <c r="D37" s="82">
        <f>[8]Cartera_Vencida!D37</f>
        <v>5.3065049970172504</v>
      </c>
      <c r="E37" s="82">
        <f>[8]Cartera_Vencida!E37</f>
        <v>0</v>
      </c>
      <c r="F37" s="84">
        <f>[8]Cartera_Vencida!F37</f>
        <v>9.7725810456030615</v>
      </c>
      <c r="G37" s="82">
        <f>100*B37/[8]Cartera_Bruta!B38</f>
        <v>5.8105981292089997</v>
      </c>
      <c r="H37" s="82">
        <f>100*C37/[8]Cartera_Bruta!C38</f>
        <v>9.6463482047483193</v>
      </c>
      <c r="I37" s="82">
        <f>100*D37/[8]Cartera_Bruta!D38</f>
        <v>20.93081086810032</v>
      </c>
      <c r="J37" s="82"/>
      <c r="K37" s="84">
        <f>+F37*100/[8]Cartera_Bruta!G38</f>
        <v>10.502165379115873</v>
      </c>
      <c r="L37" s="82"/>
      <c r="M37" s="82"/>
      <c r="N37" s="82"/>
      <c r="O37" s="82"/>
      <c r="P37" s="82"/>
      <c r="Q37" s="83">
        <f>100*(B37+L37)/([8]Cartera_Bruta!B38+'G2.4B'!L37)</f>
        <v>5.8105981292089997</v>
      </c>
      <c r="R37" s="82">
        <f>100*(C37+M37)/([8]Cartera_Bruta!C38+'G2.4B'!M37)</f>
        <v>9.6463482047483193</v>
      </c>
      <c r="S37" s="82">
        <f>100*(D37+N37)/([8]Cartera_Bruta!D38+'G2.4B'!N37)</f>
        <v>20.93081086810032</v>
      </c>
      <c r="T37" s="82"/>
      <c r="U37" s="84">
        <f>100*(F37+P37)/([8]Cartera_Bruta!G38+'G2.4B'!P37)</f>
        <v>10.502165379115873</v>
      </c>
      <c r="V37" s="48" t="str">
        <f t="shared" si="0"/>
        <v>T</v>
      </c>
    </row>
    <row r="38" spans="1:23" x14ac:dyDescent="0.3">
      <c r="A38" s="43">
        <v>37165</v>
      </c>
      <c r="B38" s="83">
        <f>[8]Cartera_Vencida!B38</f>
        <v>3.0576126528189103</v>
      </c>
      <c r="C38" s="82">
        <f>[8]Cartera_Vencida!C38</f>
        <v>1.3539234087651801</v>
      </c>
      <c r="D38" s="82">
        <f>[8]Cartera_Vencida!D38</f>
        <v>5.2194471322038698</v>
      </c>
      <c r="E38" s="82">
        <f>[8]Cartera_Vencida!E38</f>
        <v>0</v>
      </c>
      <c r="F38" s="84">
        <f>[8]Cartera_Vencida!F38</f>
        <v>9.6309831937879604</v>
      </c>
      <c r="G38" s="82">
        <f>100*B38/[8]Cartera_Bruta!B39</f>
        <v>5.6808811324074178</v>
      </c>
      <c r="H38" s="82">
        <f>100*C38/[8]Cartera_Bruta!C39</f>
        <v>9.5951914073056734</v>
      </c>
      <c r="I38" s="82">
        <f>100*D38/[8]Cartera_Bruta!D39</f>
        <v>20.791192684892319</v>
      </c>
      <c r="J38" s="82"/>
      <c r="K38" s="84">
        <f>+F38*100/[8]Cartera_Bruta!G39</f>
        <v>10.351730558423558</v>
      </c>
      <c r="L38" s="82"/>
      <c r="M38" s="82"/>
      <c r="N38" s="82"/>
      <c r="O38" s="82"/>
      <c r="P38" s="82"/>
      <c r="Q38" s="83">
        <f>100*(B38+L38)/([8]Cartera_Bruta!B39+'G2.4B'!L38)</f>
        <v>5.6808811324074178</v>
      </c>
      <c r="R38" s="82">
        <f>100*(C38+M38)/([8]Cartera_Bruta!C39+'G2.4B'!M38)</f>
        <v>9.5951914073056734</v>
      </c>
      <c r="S38" s="82">
        <f>100*(D38+N38)/([8]Cartera_Bruta!D39+'G2.4B'!N38)</f>
        <v>20.791192684892319</v>
      </c>
      <c r="T38" s="82"/>
      <c r="U38" s="84">
        <f>100*(F38+P38)/([8]Cartera_Bruta!G39+'G2.4B'!P38)</f>
        <v>10.351730558423558</v>
      </c>
      <c r="V38" s="48" t="str">
        <f t="shared" si="0"/>
        <v>T</v>
      </c>
    </row>
    <row r="39" spans="1:23" x14ac:dyDescent="0.3">
      <c r="A39" s="43">
        <v>37196</v>
      </c>
      <c r="B39" s="83">
        <f>[8]Cartera_Vencida!B39</f>
        <v>2.8770165822790799</v>
      </c>
      <c r="C39" s="82">
        <f>[8]Cartera_Vencida!C39</f>
        <v>1.2511499855193802</v>
      </c>
      <c r="D39" s="82">
        <f>[8]Cartera_Vencida!D39</f>
        <v>5.2946885677192403</v>
      </c>
      <c r="E39" s="82">
        <f>[8]Cartera_Vencida!E39</f>
        <v>0</v>
      </c>
      <c r="F39" s="84">
        <f>[8]Cartera_Vencida!F39</f>
        <v>9.4228551355177004</v>
      </c>
      <c r="G39" s="82">
        <f>100*B39/[8]Cartera_Bruta!B40</f>
        <v>5.3306013026385841</v>
      </c>
      <c r="H39" s="82">
        <f>100*C39/[8]Cartera_Bruta!C40</f>
        <v>8.5521073065943014</v>
      </c>
      <c r="I39" s="82">
        <f>100*D39/[8]Cartera_Bruta!D40</f>
        <v>21.234025855110925</v>
      </c>
      <c r="J39" s="82"/>
      <c r="K39" s="84">
        <f>+F39*100/[8]Cartera_Bruta!G40</f>
        <v>10.074002240973224</v>
      </c>
      <c r="L39" s="82"/>
      <c r="M39" s="82"/>
      <c r="N39" s="82"/>
      <c r="O39" s="82"/>
      <c r="P39" s="82"/>
      <c r="Q39" s="83">
        <f>100*(B39+L39)/([8]Cartera_Bruta!B40+'G2.4B'!L39)</f>
        <v>5.3306013026385841</v>
      </c>
      <c r="R39" s="82">
        <f>100*(C39+M39)/([8]Cartera_Bruta!C40+'G2.4B'!M39)</f>
        <v>8.5521073065943014</v>
      </c>
      <c r="S39" s="82">
        <f>100*(D39+N39)/([8]Cartera_Bruta!D40+'G2.4B'!N39)</f>
        <v>21.234025855110925</v>
      </c>
      <c r="T39" s="82"/>
      <c r="U39" s="84">
        <f>100*(F39+P39)/([8]Cartera_Bruta!G40+'G2.4B'!P39)</f>
        <v>10.074002240973224</v>
      </c>
      <c r="V39" s="48" t="str">
        <f t="shared" si="0"/>
        <v>T</v>
      </c>
    </row>
    <row r="40" spans="1:23" x14ac:dyDescent="0.3">
      <c r="A40" s="43">
        <v>37226</v>
      </c>
      <c r="B40" s="83">
        <f>[8]Cartera_Vencida!B40</f>
        <v>2.5592099643855799</v>
      </c>
      <c r="C40" s="82">
        <f>[8]Cartera_Vencida!C40</f>
        <v>1.1493339316027802</v>
      </c>
      <c r="D40" s="82">
        <f>[8]Cartera_Vencida!D40</f>
        <v>5.15427260636611</v>
      </c>
      <c r="E40" s="82">
        <f>[8]Cartera_Vencida!E40</f>
        <v>0</v>
      </c>
      <c r="F40" s="84">
        <f>[8]Cartera_Vencida!F40</f>
        <v>8.8628165023544696</v>
      </c>
      <c r="G40" s="82">
        <f>100*B40/[8]Cartera_Bruta!B41</f>
        <v>4.7826981520365495</v>
      </c>
      <c r="H40" s="82">
        <f>100*C40/[8]Cartera_Bruta!C41</f>
        <v>7.8198984168333778</v>
      </c>
      <c r="I40" s="82">
        <f>100*D40/[8]Cartera_Bruta!D41</f>
        <v>20.855085232363837</v>
      </c>
      <c r="J40" s="82"/>
      <c r="K40" s="84">
        <f>+F40*100/[8]Cartera_Bruta!G41</f>
        <v>9.5379084397792884</v>
      </c>
      <c r="L40" s="82"/>
      <c r="M40" s="82"/>
      <c r="N40" s="82"/>
      <c r="O40" s="82"/>
      <c r="P40" s="82"/>
      <c r="Q40" s="83">
        <f>100*(B40+L40)/([8]Cartera_Bruta!B41+'G2.4B'!L40)</f>
        <v>4.7826981520365495</v>
      </c>
      <c r="R40" s="82">
        <f>100*(C40+M40)/([8]Cartera_Bruta!C41+'G2.4B'!M40)</f>
        <v>7.8198984168333778</v>
      </c>
      <c r="S40" s="82">
        <f>100*(D40+N40)/([8]Cartera_Bruta!D41+'G2.4B'!N40)</f>
        <v>20.855085232363837</v>
      </c>
      <c r="T40" s="82"/>
      <c r="U40" s="84">
        <f>100*(F40+P40)/([8]Cartera_Bruta!G41+'G2.4B'!P40)</f>
        <v>9.5379084397792884</v>
      </c>
      <c r="V40" s="48" t="str">
        <f t="shared" si="0"/>
        <v>T</v>
      </c>
    </row>
    <row r="41" spans="1:23" x14ac:dyDescent="0.3">
      <c r="A41" s="43">
        <v>37257</v>
      </c>
      <c r="B41" s="83">
        <f>[8]Cartera_Vencida!B41</f>
        <v>3.4054829036950998</v>
      </c>
      <c r="C41" s="82">
        <f>[8]Cartera_Vencida!C41</f>
        <v>1.01681846137948</v>
      </c>
      <c r="D41" s="82">
        <f>[8]Cartera_Vencida!D41</f>
        <v>8.1308427730297197</v>
      </c>
      <c r="E41" s="82">
        <f>[8]Cartera_Vencida!E41</f>
        <v>1.5163928861040401E-2</v>
      </c>
      <c r="F41" s="84">
        <f>[8]Cartera_Vencida!F41</f>
        <v>12.56830806696534</v>
      </c>
      <c r="G41" s="82">
        <f>100*B41/[8]Cartera_Bruta!B42</f>
        <v>6.3202969107233029</v>
      </c>
      <c r="H41" s="82">
        <f>100*C41/[8]Cartera_Bruta!C42</f>
        <v>7.7438366758666044</v>
      </c>
      <c r="I41" s="82">
        <f>100*D41/[8]Cartera_Bruta!D42</f>
        <v>33.713895504614655</v>
      </c>
      <c r="J41" s="82">
        <f>100*E41/[8]Cartera_Bruta!F42</f>
        <v>7.3875089915061602</v>
      </c>
      <c r="K41" s="84">
        <f>+F41*100/[8]Cartera_Bruta!G42</f>
        <v>13.760696870457091</v>
      </c>
      <c r="L41" s="82"/>
      <c r="M41" s="82"/>
      <c r="N41" s="82"/>
      <c r="O41" s="82"/>
      <c r="P41" s="82"/>
      <c r="Q41" s="83">
        <f>100*(B41+L41)/([8]Cartera_Bruta!B42+'G2.4B'!L41)</f>
        <v>6.3202969107233029</v>
      </c>
      <c r="R41" s="82">
        <f>100*(C41+M41)/([8]Cartera_Bruta!C42+'G2.4B'!M41)</f>
        <v>7.7438366758666044</v>
      </c>
      <c r="S41" s="82">
        <f>100*(D41+N41)/([8]Cartera_Bruta!D42+'G2.4B'!N41)</f>
        <v>33.713895504614655</v>
      </c>
      <c r="T41" s="82">
        <f>100*(E41+O41)/([8]Cartera_Bruta!F42+'G2.4B'!O41)</f>
        <v>7.3875089915061602</v>
      </c>
      <c r="U41" s="84">
        <f>100*(F41+P41)/([8]Cartera_Bruta!G42+'G2.4B'!P41)</f>
        <v>13.760696870457091</v>
      </c>
      <c r="V41" s="48" t="str">
        <f t="shared" si="0"/>
        <v>T</v>
      </c>
    </row>
    <row r="42" spans="1:23" x14ac:dyDescent="0.3">
      <c r="A42" s="43">
        <v>37288</v>
      </c>
      <c r="B42" s="83">
        <f>[8]Cartera_Vencida!B42</f>
        <v>3.22951138205981</v>
      </c>
      <c r="C42" s="82">
        <f>[8]Cartera_Vencida!C42</f>
        <v>1.0600118684775899</v>
      </c>
      <c r="D42" s="82">
        <f>[8]Cartera_Vencida!D42</f>
        <v>8.083406821389989</v>
      </c>
      <c r="E42" s="82">
        <f>[8]Cartera_Vencida!E42</f>
        <v>1.60428918555728E-2</v>
      </c>
      <c r="F42" s="84">
        <f>[8]Cartera_Vencida!F42</f>
        <v>12.388972963782962</v>
      </c>
      <c r="G42" s="82">
        <f>100*B42/[8]Cartera_Bruta!B43</f>
        <v>6.0115184883741497</v>
      </c>
      <c r="H42" s="82">
        <f>100*C42/[8]Cartera_Bruta!C43</f>
        <v>8.0838979902445818</v>
      </c>
      <c r="I42" s="82">
        <f>100*D42/[8]Cartera_Bruta!D43</f>
        <v>33.996917920781293</v>
      </c>
      <c r="J42" s="82">
        <f>100*E42/[8]Cartera_Bruta!F43</f>
        <v>7.9263319338872256</v>
      </c>
      <c r="K42" s="84">
        <f>+F42*100/[8]Cartera_Bruta!G43</f>
        <v>13.642144286877052</v>
      </c>
      <c r="L42" s="82"/>
      <c r="M42" s="82"/>
      <c r="N42" s="82"/>
      <c r="O42" s="82"/>
      <c r="P42" s="82"/>
      <c r="Q42" s="83">
        <f>100*(B42+L42)/([8]Cartera_Bruta!B43+'G2.4B'!L42)</f>
        <v>6.0115184883741497</v>
      </c>
      <c r="R42" s="82">
        <f>100*(C42+M42)/([8]Cartera_Bruta!C43+'G2.4B'!M42)</f>
        <v>8.0838979902445818</v>
      </c>
      <c r="S42" s="82">
        <f>100*(D42+N42)/([8]Cartera_Bruta!D43+'G2.4B'!N42)</f>
        <v>33.996917920781293</v>
      </c>
      <c r="T42" s="82">
        <f>100*(E42+O42)/([8]Cartera_Bruta!F43+'G2.4B'!O42)</f>
        <v>7.9263319338872256</v>
      </c>
      <c r="U42" s="84">
        <f>100*(F42+P42)/([8]Cartera_Bruta!G43+'G2.4B'!P42)</f>
        <v>13.642144286877052</v>
      </c>
      <c r="V42" s="48" t="str">
        <f t="shared" si="0"/>
        <v>T</v>
      </c>
    </row>
    <row r="43" spans="1:23" x14ac:dyDescent="0.3">
      <c r="A43" s="43">
        <v>37316</v>
      </c>
      <c r="B43" s="83">
        <f>[8]Cartera_Vencida!B43</f>
        <v>3.0098963198305202</v>
      </c>
      <c r="C43" s="82">
        <f>[8]Cartera_Vencida!C43</f>
        <v>1.0747867669037299</v>
      </c>
      <c r="D43" s="82">
        <f>[8]Cartera_Vencida!D43</f>
        <v>8.2667197387854099</v>
      </c>
      <c r="E43" s="82">
        <f>[8]Cartera_Vencida!E43</f>
        <v>1.9363249644833901E-2</v>
      </c>
      <c r="F43" s="84">
        <f>[8]Cartera_Vencida!F43</f>
        <v>12.370766075164493</v>
      </c>
      <c r="G43" s="82">
        <f>100*B43/[8]Cartera_Bruta!B44</f>
        <v>5.6205967511330437</v>
      </c>
      <c r="H43" s="82">
        <f>100*C43/[8]Cartera_Bruta!C44</f>
        <v>8.434725486783389</v>
      </c>
      <c r="I43" s="82">
        <f>100*D43/[8]Cartera_Bruta!D44</f>
        <v>35.025496119331336</v>
      </c>
      <c r="J43" s="82">
        <f>100*E43/[8]Cartera_Bruta!F44</f>
        <v>7.589512482576998</v>
      </c>
      <c r="K43" s="84">
        <f>+F43*100/[8]Cartera_Bruta!G44</f>
        <v>13.722313936141433</v>
      </c>
      <c r="L43" s="82"/>
      <c r="M43" s="82"/>
      <c r="N43" s="82"/>
      <c r="O43" s="82"/>
      <c r="P43" s="82"/>
      <c r="Q43" s="83">
        <f>100*(B43+L43)/([8]Cartera_Bruta!B44+'G2.4B'!L43)</f>
        <v>5.6205967511330437</v>
      </c>
      <c r="R43" s="82">
        <f>100*(C43+M43)/([8]Cartera_Bruta!C44+'G2.4B'!M43)</f>
        <v>8.434725486783389</v>
      </c>
      <c r="S43" s="82">
        <f>100*(D43+N43)/([8]Cartera_Bruta!D44+'G2.4B'!N43)</f>
        <v>35.025496119331336</v>
      </c>
      <c r="T43" s="82">
        <f>100*(E43+O43)/([8]Cartera_Bruta!F44+'G2.4B'!O43)</f>
        <v>7.589512482576998</v>
      </c>
      <c r="U43" s="84">
        <f>100*(F43+P43)/([8]Cartera_Bruta!G44+'G2.4B'!P43)</f>
        <v>13.722313936141433</v>
      </c>
      <c r="V43" s="48" t="str">
        <f t="shared" si="0"/>
        <v>T</v>
      </c>
    </row>
    <row r="44" spans="1:23" x14ac:dyDescent="0.3">
      <c r="A44" s="43">
        <v>37347</v>
      </c>
      <c r="B44" s="83">
        <f>[8]Cartera_Vencida!B44</f>
        <v>2.9320099552810204</v>
      </c>
      <c r="C44" s="82">
        <f>[8]Cartera_Vencida!C44</f>
        <v>0.98494530127428193</v>
      </c>
      <c r="D44" s="82">
        <f>[8]Cartera_Vencida!D44</f>
        <v>8.1595072555541392</v>
      </c>
      <c r="E44" s="82">
        <f>[8]Cartera_Vencida!E44</f>
        <v>1.8150188302171098E-2</v>
      </c>
      <c r="F44" s="84">
        <f>[8]Cartera_Vencida!F44</f>
        <v>12.094612700411611</v>
      </c>
      <c r="G44" s="82">
        <f>100*B44/[8]Cartera_Bruta!B45</f>
        <v>5.5247410485002915</v>
      </c>
      <c r="H44" s="82">
        <f>100*C44/[8]Cartera_Bruta!C45</f>
        <v>7.6640150143273651</v>
      </c>
      <c r="I44" s="82">
        <f>100*D44/[8]Cartera_Bruta!D45</f>
        <v>34.894624085007308</v>
      </c>
      <c r="J44" s="82">
        <f>100*E44/[8]Cartera_Bruta!F45</f>
        <v>7.0777360057888439</v>
      </c>
      <c r="K44" s="84">
        <f>+F44*100/[8]Cartera_Bruta!G45</f>
        <v>13.504206355002053</v>
      </c>
      <c r="L44" s="82"/>
      <c r="M44" s="82"/>
      <c r="N44" s="82"/>
      <c r="O44" s="82"/>
      <c r="P44" s="82"/>
      <c r="Q44" s="83">
        <f>100*(B44+L44)/([8]Cartera_Bruta!B45+'G2.4B'!L44)</f>
        <v>5.5247410485002915</v>
      </c>
      <c r="R44" s="82">
        <f>100*(C44+M44)/([8]Cartera_Bruta!C45+'G2.4B'!M44)</f>
        <v>7.6640150143273651</v>
      </c>
      <c r="S44" s="82">
        <f>100*(D44+N44)/([8]Cartera_Bruta!D45+'G2.4B'!N44)</f>
        <v>34.894624085007308</v>
      </c>
      <c r="T44" s="82">
        <f>100*(E44+O44)/([8]Cartera_Bruta!F45+'G2.4B'!O44)</f>
        <v>7.0777360057888439</v>
      </c>
      <c r="U44" s="84">
        <f>100*(F44+P44)/([8]Cartera_Bruta!G45+'G2.4B'!P44)</f>
        <v>13.504206355002053</v>
      </c>
      <c r="V44" s="48" t="str">
        <f t="shared" si="0"/>
        <v>T</v>
      </c>
    </row>
    <row r="45" spans="1:23" x14ac:dyDescent="0.3">
      <c r="A45" s="43">
        <v>37377</v>
      </c>
      <c r="B45" s="83">
        <f>[8]Cartera_Vencida!B45</f>
        <v>2.7857941346611401</v>
      </c>
      <c r="C45" s="82">
        <f>[8]Cartera_Vencida!C45</f>
        <v>0.98294742289583603</v>
      </c>
      <c r="D45" s="82">
        <f>[8]Cartera_Vencida!D45</f>
        <v>8.1516721951986497</v>
      </c>
      <c r="E45" s="82">
        <f>[8]Cartera_Vencida!E45</f>
        <v>1.8420856702533402E-2</v>
      </c>
      <c r="F45" s="84">
        <f>[8]Cartera_Vencida!F45</f>
        <v>11.938834609458159</v>
      </c>
      <c r="G45" s="82">
        <f>100*B45/[8]Cartera_Bruta!B46</f>
        <v>5.2808924629229761</v>
      </c>
      <c r="H45" s="82">
        <f>100*C45/[8]Cartera_Bruta!C46</f>
        <v>7.4186201067198541</v>
      </c>
      <c r="I45" s="82">
        <f>100*D45/[8]Cartera_Bruta!D46</f>
        <v>35.78674074380222</v>
      </c>
      <c r="J45" s="82">
        <f>100*E45/[8]Cartera_Bruta!F46</f>
        <v>7.1620073333598819</v>
      </c>
      <c r="K45" s="84">
        <f>+F45*100/[8]Cartera_Bruta!G46</f>
        <v>13.408734576376855</v>
      </c>
      <c r="L45" s="82"/>
      <c r="M45" s="82"/>
      <c r="N45" s="82"/>
      <c r="O45" s="82"/>
      <c r="P45" s="82"/>
      <c r="Q45" s="83">
        <f>100*(B45+L45)/([8]Cartera_Bruta!B46+'G2.4B'!L45)</f>
        <v>5.2808924629229761</v>
      </c>
      <c r="R45" s="82">
        <f>100*(C45+M45)/([8]Cartera_Bruta!C46+'G2.4B'!M45)</f>
        <v>7.4186201067198541</v>
      </c>
      <c r="S45" s="82">
        <f>100*(D45+N45)/([8]Cartera_Bruta!D46+'G2.4B'!N45)</f>
        <v>35.78674074380222</v>
      </c>
      <c r="T45" s="82">
        <f>100*(E45+O45)/([8]Cartera_Bruta!F46+'G2.4B'!O45)</f>
        <v>7.1620073333598819</v>
      </c>
      <c r="U45" s="84">
        <f>100*(F45+P45)/([8]Cartera_Bruta!G46+'G2.4B'!P45)</f>
        <v>13.408734576376855</v>
      </c>
      <c r="V45" s="48" t="str">
        <f t="shared" si="0"/>
        <v>T</v>
      </c>
    </row>
    <row r="46" spans="1:23" x14ac:dyDescent="0.3">
      <c r="A46" s="43">
        <v>37408</v>
      </c>
      <c r="B46" s="83">
        <f>[8]Cartera_Vencida!B46</f>
        <v>2.88121476140372</v>
      </c>
      <c r="C46" s="82">
        <f>[8]Cartera_Vencida!C46</f>
        <v>0.93067791289233304</v>
      </c>
      <c r="D46" s="82">
        <f>[8]Cartera_Vencida!D46</f>
        <v>7.9616350277671604</v>
      </c>
      <c r="E46" s="82">
        <f>[8]Cartera_Vencida!E46</f>
        <v>1.9637333081436101E-2</v>
      </c>
      <c r="F46" s="84">
        <f>[8]Cartera_Vencida!F46</f>
        <v>11.793165035144648</v>
      </c>
      <c r="G46" s="82">
        <f>100*B46/[8]Cartera_Bruta!B47</f>
        <v>5.3846759236523409</v>
      </c>
      <c r="H46" s="82">
        <f>100*C46/[8]Cartera_Bruta!C47</f>
        <v>7.0230782094945443</v>
      </c>
      <c r="I46" s="82">
        <f>100*D46/[8]Cartera_Bruta!D47</f>
        <v>35.187712204268152</v>
      </c>
      <c r="J46" s="82">
        <f>100*E46/[8]Cartera_Bruta!F47</f>
        <v>7.7377203560113612</v>
      </c>
      <c r="K46" s="84">
        <f>+F46*100/[8]Cartera_Bruta!G47</f>
        <v>13.1562368495798</v>
      </c>
      <c r="L46" s="82"/>
      <c r="M46" s="82"/>
      <c r="N46" s="82"/>
      <c r="O46" s="82"/>
      <c r="P46" s="82"/>
      <c r="Q46" s="83">
        <f>100*(B46+L46)/([8]Cartera_Bruta!B47+'G2.4B'!L46)</f>
        <v>5.3846759236523409</v>
      </c>
      <c r="R46" s="82">
        <f>100*(C46+M46)/([8]Cartera_Bruta!C47+'G2.4B'!M46)</f>
        <v>7.0230782094945443</v>
      </c>
      <c r="S46" s="82">
        <f>100*(D46+N46)/([8]Cartera_Bruta!D47+'G2.4B'!N46)</f>
        <v>35.187712204268152</v>
      </c>
      <c r="T46" s="82">
        <f>100*(E46+O46)/([8]Cartera_Bruta!F47+'G2.4B'!O46)</f>
        <v>7.7377203560113612</v>
      </c>
      <c r="U46" s="84">
        <f>100*(F46+P46)/([8]Cartera_Bruta!G47+'G2.4B'!P46)</f>
        <v>13.1562368495798</v>
      </c>
      <c r="V46" s="48" t="str">
        <f t="shared" si="0"/>
        <v>T</v>
      </c>
    </row>
    <row r="47" spans="1:23" x14ac:dyDescent="0.3">
      <c r="A47" s="43">
        <v>37438</v>
      </c>
      <c r="B47" s="83">
        <f>[8]Cartera_Vencida!B47</f>
        <v>2.87522806971152</v>
      </c>
      <c r="C47" s="82">
        <f>[8]Cartera_Vencida!C47</f>
        <v>0.88686857144002607</v>
      </c>
      <c r="D47" s="82">
        <f>[8]Cartera_Vencida!D47</f>
        <v>7.8479271710315901</v>
      </c>
      <c r="E47" s="82">
        <f>[8]Cartera_Vencida!E47</f>
        <v>1.9859364160015602E-2</v>
      </c>
      <c r="F47" s="84">
        <f>[8]Cartera_Vencida!F47</f>
        <v>11.629883176343153</v>
      </c>
      <c r="G47" s="82">
        <f>100*B47/[8]Cartera_Bruta!B48</f>
        <v>5.2659139136306869</v>
      </c>
      <c r="H47" s="82">
        <f>100*C47/[8]Cartera_Bruta!C48</f>
        <v>6.5267132278341311</v>
      </c>
      <c r="I47" s="82">
        <f>100*D47/[8]Cartera_Bruta!D48</f>
        <v>34.962637199109345</v>
      </c>
      <c r="J47" s="82">
        <f>100*E47/[8]Cartera_Bruta!F48</f>
        <v>7.7887318582914471</v>
      </c>
      <c r="K47" s="84">
        <f>+F47*100/[8]Cartera_Bruta!G48</f>
        <v>12.795471799286851</v>
      </c>
      <c r="L47" s="82"/>
      <c r="M47" s="82"/>
      <c r="N47" s="82"/>
      <c r="O47" s="82"/>
      <c r="P47" s="82"/>
      <c r="Q47" s="83">
        <f>100*(B47+L47)/([8]Cartera_Bruta!B48+'G2.4B'!L47)</f>
        <v>5.2659139136306869</v>
      </c>
      <c r="R47" s="82">
        <f>100*(C47+M47)/([8]Cartera_Bruta!C48+'G2.4B'!M47)</f>
        <v>6.5267132278341311</v>
      </c>
      <c r="S47" s="82">
        <f>100*(D47+N47)/([8]Cartera_Bruta!D48+'G2.4B'!N47)</f>
        <v>34.962637199109345</v>
      </c>
      <c r="T47" s="82">
        <f>100*(E47+O47)/([8]Cartera_Bruta!F48+'G2.4B'!O47)</f>
        <v>7.7887318582914471</v>
      </c>
      <c r="U47" s="84">
        <f>100*(F47+P47)/([8]Cartera_Bruta!G48+'G2.4B'!P47)</f>
        <v>12.795471799286851</v>
      </c>
      <c r="V47" s="48" t="str">
        <f t="shared" si="0"/>
        <v>T</v>
      </c>
    </row>
    <row r="48" spans="1:23" x14ac:dyDescent="0.3">
      <c r="A48" s="43">
        <v>37469</v>
      </c>
      <c r="B48" s="83">
        <f>[8]Cartera_Vencida!B48</f>
        <v>2.5225929559721498</v>
      </c>
      <c r="C48" s="82">
        <f>[8]Cartera_Vencida!C48</f>
        <v>0.87968446889462903</v>
      </c>
      <c r="D48" s="82">
        <f>[8]Cartera_Vencida!D48</f>
        <v>7.85754096510653</v>
      </c>
      <c r="E48" s="82">
        <f>[8]Cartera_Vencida!E48</f>
        <v>4.8189764305711903E-2</v>
      </c>
      <c r="F48" s="84">
        <f>[8]Cartera_Vencida!F48</f>
        <v>11.308008154279021</v>
      </c>
      <c r="G48" s="82">
        <f>100*B48/[8]Cartera_Bruta!B49</f>
        <v>4.6428685407409258</v>
      </c>
      <c r="H48" s="82">
        <f>100*C48/[8]Cartera_Bruta!C49</f>
        <v>6.3218537518036921</v>
      </c>
      <c r="I48" s="82">
        <f>100*D48/[8]Cartera_Bruta!D49</f>
        <v>35.307209207872582</v>
      </c>
      <c r="J48" s="82">
        <f>100*E48/[8]Cartera_Bruta!F49</f>
        <v>8.0639568595723503</v>
      </c>
      <c r="K48" s="84">
        <f>+F48*100/[8]Cartera_Bruta!G49</f>
        <v>12.412743996054562</v>
      </c>
      <c r="L48" s="82"/>
      <c r="M48" s="82"/>
      <c r="N48" s="82"/>
      <c r="O48" s="82"/>
      <c r="P48" s="82"/>
      <c r="Q48" s="83">
        <f>100*(B48+L48)/([8]Cartera_Bruta!B49+'G2.4B'!L48)</f>
        <v>4.6428685407409258</v>
      </c>
      <c r="R48" s="82">
        <f>100*(C48+M48)/([8]Cartera_Bruta!C49+'G2.4B'!M48)</f>
        <v>6.3218537518036921</v>
      </c>
      <c r="S48" s="82">
        <f>100*(D48+N48)/([8]Cartera_Bruta!D49+'G2.4B'!N48)</f>
        <v>35.307209207872582</v>
      </c>
      <c r="T48" s="82">
        <f>100*(E48+O48)/([8]Cartera_Bruta!F49+'G2.4B'!O48)</f>
        <v>8.0639568595723503</v>
      </c>
      <c r="U48" s="84">
        <f>100*(F48+P48)/([8]Cartera_Bruta!G49+'G2.4B'!P48)</f>
        <v>12.412743996054562</v>
      </c>
      <c r="V48" s="48" t="str">
        <f t="shared" si="0"/>
        <v>T</v>
      </c>
      <c r="W48" s="85"/>
    </row>
    <row r="49" spans="1:22" x14ac:dyDescent="0.3">
      <c r="A49" s="43">
        <v>37500</v>
      </c>
      <c r="B49" s="83">
        <f>[8]Cartera_Vencida!B49</f>
        <v>2.4049511177213998</v>
      </c>
      <c r="C49" s="82">
        <f>[8]Cartera_Vencida!C49</f>
        <v>0.92324177155588194</v>
      </c>
      <c r="D49" s="82">
        <f>[8]Cartera_Vencida!D49</f>
        <v>7.7537936600943498</v>
      </c>
      <c r="E49" s="82">
        <f>[8]Cartera_Vencida!E49</f>
        <v>4.9654713576122E-2</v>
      </c>
      <c r="F49" s="84">
        <f>[8]Cartera_Vencida!F49</f>
        <v>11.131641262947753</v>
      </c>
      <c r="G49" s="82">
        <f>100*B49/[8]Cartera_Bruta!B50</f>
        <v>4.3389020196668895</v>
      </c>
      <c r="H49" s="82">
        <f>100*C49/[8]Cartera_Bruta!C50</f>
        <v>6.5334695938526846</v>
      </c>
      <c r="I49" s="82">
        <f>100*D49/[8]Cartera_Bruta!D50</f>
        <v>35.132958386931975</v>
      </c>
      <c r="J49" s="82">
        <f>100*E49/[8]Cartera_Bruta!F50</f>
        <v>8.0867140567082902</v>
      </c>
      <c r="K49" s="84">
        <f>+F49*100/[8]Cartera_Bruta!G50</f>
        <v>12.067802873483908</v>
      </c>
      <c r="L49" s="82"/>
      <c r="M49" s="82"/>
      <c r="N49" s="82"/>
      <c r="O49" s="82"/>
      <c r="P49" s="82"/>
      <c r="Q49" s="83">
        <f>100*(B49+L49)/([8]Cartera_Bruta!B50+'G2.4B'!L49)</f>
        <v>4.3389020196668895</v>
      </c>
      <c r="R49" s="82">
        <f>100*(C49+M49)/([8]Cartera_Bruta!C50+'G2.4B'!M49)</f>
        <v>6.5334695938526846</v>
      </c>
      <c r="S49" s="82">
        <f>100*(D49+N49)/([8]Cartera_Bruta!D50+'G2.4B'!N49)</f>
        <v>35.132958386931975</v>
      </c>
      <c r="T49" s="82">
        <f>100*(E49+O49)/([8]Cartera_Bruta!F50+'G2.4B'!O49)</f>
        <v>8.0867140567082902</v>
      </c>
      <c r="U49" s="84">
        <f>100*(F49+P49)/([8]Cartera_Bruta!G50+'G2.4B'!P49)</f>
        <v>12.067802873483908</v>
      </c>
      <c r="V49" s="48" t="str">
        <f t="shared" si="0"/>
        <v>T</v>
      </c>
    </row>
    <row r="50" spans="1:22" x14ac:dyDescent="0.3">
      <c r="A50" s="43">
        <v>37530</v>
      </c>
      <c r="B50" s="83">
        <f>[8]Cartera_Vencida!B50</f>
        <v>2.35230883085269</v>
      </c>
      <c r="C50" s="82">
        <f>[8]Cartera_Vencida!C50</f>
        <v>0.91855806963332798</v>
      </c>
      <c r="D50" s="82">
        <f>[8]Cartera_Vencida!D50</f>
        <v>7.6632115339726692</v>
      </c>
      <c r="E50" s="82">
        <f>[8]Cartera_Vencida!E50</f>
        <v>5.2272734436822496E-2</v>
      </c>
      <c r="F50" s="84">
        <f>[8]Cartera_Vencida!F50</f>
        <v>10.98635116889551</v>
      </c>
      <c r="G50" s="82">
        <f>100*B50/[8]Cartera_Bruta!B51</f>
        <v>4.2408036669184472</v>
      </c>
      <c r="H50" s="82">
        <f>100*C50/[8]Cartera_Bruta!C51</f>
        <v>6.3922503740542416</v>
      </c>
      <c r="I50" s="82">
        <f>100*D50/[8]Cartera_Bruta!D51</f>
        <v>35.066128547091814</v>
      </c>
      <c r="J50" s="82">
        <f>100*E50/[8]Cartera_Bruta!F51</f>
        <v>8.079638406653002</v>
      </c>
      <c r="K50" s="84">
        <f>+F50*100/[8]Cartera_Bruta!G51</f>
        <v>11.897857053804334</v>
      </c>
      <c r="L50" s="82"/>
      <c r="M50" s="82"/>
      <c r="N50" s="82"/>
      <c r="O50" s="82"/>
      <c r="P50" s="82"/>
      <c r="Q50" s="83">
        <f>100*(B50+L50)/([8]Cartera_Bruta!B51+'G2.4B'!L50)</f>
        <v>4.2408036669184472</v>
      </c>
      <c r="R50" s="82">
        <f>100*(C50+M50)/([8]Cartera_Bruta!C51+'G2.4B'!M50)</f>
        <v>6.3922503740542416</v>
      </c>
      <c r="S50" s="82">
        <f>100*(D50+N50)/([8]Cartera_Bruta!D51+'G2.4B'!N50)</f>
        <v>35.066128547091814</v>
      </c>
      <c r="T50" s="82">
        <f>100*(E50+O50)/([8]Cartera_Bruta!F51+'G2.4B'!O50)</f>
        <v>8.079638406653002</v>
      </c>
      <c r="U50" s="84">
        <f>100*(F50+P50)/([8]Cartera_Bruta!G51+'G2.4B'!P50)</f>
        <v>11.897857053804334</v>
      </c>
      <c r="V50" s="48" t="str">
        <f t="shared" si="0"/>
        <v>T</v>
      </c>
    </row>
    <row r="51" spans="1:22" x14ac:dyDescent="0.3">
      <c r="A51" s="43">
        <v>37561</v>
      </c>
      <c r="B51" s="83">
        <f>[8]Cartera_Vencida!B51</f>
        <v>2.4023559104585601</v>
      </c>
      <c r="C51" s="82">
        <f>[8]Cartera_Vencida!C51</f>
        <v>0.96248705795732403</v>
      </c>
      <c r="D51" s="82">
        <f>[8]Cartera_Vencida!D51</f>
        <v>7.5232842526566097</v>
      </c>
      <c r="E51" s="82">
        <f>[8]Cartera_Vencida!E51</f>
        <v>5.3459792078556001E-2</v>
      </c>
      <c r="F51" s="84">
        <f>[8]Cartera_Vencida!F51</f>
        <v>10.94158701315105</v>
      </c>
      <c r="G51" s="82">
        <f>100*B51/[8]Cartera_Bruta!B52</f>
        <v>4.2615485400030506</v>
      </c>
      <c r="H51" s="82">
        <f>100*C51/[8]Cartera_Bruta!C52</f>
        <v>6.5918051704599456</v>
      </c>
      <c r="I51" s="82">
        <f>100*D51/[8]Cartera_Bruta!D52</f>
        <v>36.467058775073603</v>
      </c>
      <c r="J51" s="82">
        <f>100*E51/[8]Cartera_Bruta!F52</f>
        <v>8.1316568592436891</v>
      </c>
      <c r="K51" s="84">
        <f>+F51*100/[8]Cartera_Bruta!G52</f>
        <v>11.859270315102174</v>
      </c>
      <c r="L51" s="82"/>
      <c r="M51" s="82"/>
      <c r="N51" s="82"/>
      <c r="O51" s="82"/>
      <c r="P51" s="82"/>
      <c r="Q51" s="83">
        <f>100*(B51+L51)/([8]Cartera_Bruta!B52+'G2.4B'!L51)</f>
        <v>4.2615485400030506</v>
      </c>
      <c r="R51" s="82">
        <f>100*(C51+M51)/([8]Cartera_Bruta!C52+'G2.4B'!M51)</f>
        <v>6.5918051704599456</v>
      </c>
      <c r="S51" s="82">
        <f>100*(D51+N51)/([8]Cartera_Bruta!D52+'G2.4B'!N51)</f>
        <v>36.467058775073603</v>
      </c>
      <c r="T51" s="82">
        <f>100*(E51+O51)/([8]Cartera_Bruta!F52+'G2.4B'!O51)</f>
        <v>8.1316568592436891</v>
      </c>
      <c r="U51" s="84">
        <f>100*(F51+P51)/([8]Cartera_Bruta!G52+'G2.4B'!P51)</f>
        <v>11.859270315102174</v>
      </c>
      <c r="V51" s="48" t="str">
        <f t="shared" si="0"/>
        <v>T</v>
      </c>
    </row>
    <row r="52" spans="1:22" x14ac:dyDescent="0.3">
      <c r="A52" s="43">
        <v>37591</v>
      </c>
      <c r="B52" s="83">
        <f>[8]Cartera_Vencida!B52</f>
        <v>2.1626022946518799</v>
      </c>
      <c r="C52" s="82">
        <f>[8]Cartera_Vencida!C52</f>
        <v>0.85385233883212397</v>
      </c>
      <c r="D52" s="82">
        <f>[8]Cartera_Vencida!D52</f>
        <v>7.2002533437080602</v>
      </c>
      <c r="E52" s="82">
        <f>[8]Cartera_Vencida!E52</f>
        <v>4.7263883117406098E-2</v>
      </c>
      <c r="F52" s="84">
        <f>[8]Cartera_Vencida!F52</f>
        <v>10.26397186030947</v>
      </c>
      <c r="G52" s="82">
        <f>100*B52/[8]Cartera_Bruta!B53</f>
        <v>3.7994214609086665</v>
      </c>
      <c r="H52" s="82">
        <f>100*C52/[8]Cartera_Bruta!C53</f>
        <v>5.7775304237369269</v>
      </c>
      <c r="I52" s="82">
        <f>100*D52/[8]Cartera_Bruta!D53</f>
        <v>34.690695641475578</v>
      </c>
      <c r="J52" s="82">
        <f>100*E52/[8]Cartera_Bruta!F53</f>
        <v>6.5593014061156012</v>
      </c>
      <c r="K52" s="84">
        <f>+F52*100/[8]Cartera_Bruta!G53</f>
        <v>11.015890494353668</v>
      </c>
      <c r="L52" s="82"/>
      <c r="M52" s="82"/>
      <c r="N52" s="82"/>
      <c r="O52" s="82"/>
      <c r="P52" s="82"/>
      <c r="Q52" s="83">
        <f>100*(B52+L52)/([8]Cartera_Bruta!B53+'G2.4B'!L52)</f>
        <v>3.7994214609086665</v>
      </c>
      <c r="R52" s="82">
        <f>100*(C52+M52)/([8]Cartera_Bruta!C53+'G2.4B'!M52)</f>
        <v>5.7775304237369269</v>
      </c>
      <c r="S52" s="82">
        <f>100*(D52+N52)/([8]Cartera_Bruta!D53+'G2.4B'!N52)</f>
        <v>34.690695641475578</v>
      </c>
      <c r="T52" s="82">
        <f>100*(E52+O52)/([8]Cartera_Bruta!F53+'G2.4B'!O52)</f>
        <v>6.5593014061156012</v>
      </c>
      <c r="U52" s="84">
        <f>100*(F52+P52)/([8]Cartera_Bruta!G53+'G2.4B'!P52)</f>
        <v>11.015890494353668</v>
      </c>
      <c r="V52" s="48" t="str">
        <f t="shared" si="0"/>
        <v>T</v>
      </c>
    </row>
    <row r="53" spans="1:22" x14ac:dyDescent="0.3">
      <c r="A53" s="43">
        <v>37622</v>
      </c>
      <c r="B53" s="83">
        <f>[8]Cartera_Vencida!B53</f>
        <v>2.1271102218967299</v>
      </c>
      <c r="C53" s="82">
        <f>[8]Cartera_Vencida!C53</f>
        <v>0.89352472639941805</v>
      </c>
      <c r="D53" s="82">
        <f>[8]Cartera_Vencida!D53</f>
        <v>7.1042267191789801</v>
      </c>
      <c r="E53" s="82">
        <f>[8]Cartera_Vencida!E53</f>
        <v>4.8333654950396501E-2</v>
      </c>
      <c r="F53" s="84">
        <f>[8]Cartera_Vencida!F53</f>
        <v>10.173195322425524</v>
      </c>
      <c r="G53" s="82">
        <f>100*B53/[8]Cartera_Bruta!B54</f>
        <v>3.7769855384974709</v>
      </c>
      <c r="H53" s="82">
        <f>100*C53/[8]Cartera_Bruta!C54</f>
        <v>5.9957358168979411</v>
      </c>
      <c r="I53" s="82">
        <f>100*D53/[8]Cartera_Bruta!D54</f>
        <v>34.702310759655568</v>
      </c>
      <c r="J53" s="82">
        <f>100*E53/[8]Cartera_Bruta!F54</f>
        <v>6.5128025482046175</v>
      </c>
      <c r="K53" s="84">
        <f>+F53*100/[8]Cartera_Bruta!G54</f>
        <v>11.005856037937829</v>
      </c>
      <c r="L53" s="82"/>
      <c r="M53" s="82"/>
      <c r="N53" s="82"/>
      <c r="O53" s="82"/>
      <c r="P53" s="82"/>
      <c r="Q53" s="83">
        <f>100*(B53+L53)/([8]Cartera_Bruta!B54+'G2.4B'!L53)</f>
        <v>3.7769855384974709</v>
      </c>
      <c r="R53" s="82">
        <f>100*(C53+M53)/([8]Cartera_Bruta!C54+'G2.4B'!M53)</f>
        <v>5.9957358168979411</v>
      </c>
      <c r="S53" s="82">
        <f>100*(D53+N53)/([8]Cartera_Bruta!D54+'G2.4B'!N53)</f>
        <v>34.702310759655568</v>
      </c>
      <c r="T53" s="82">
        <f>100*(E53+O53)/([8]Cartera_Bruta!F54+'G2.4B'!O53)</f>
        <v>6.5128025482046175</v>
      </c>
      <c r="U53" s="84">
        <f>100*(F53+P53)/([8]Cartera_Bruta!G54+'G2.4B'!P53)</f>
        <v>11.005856037937829</v>
      </c>
      <c r="V53" s="48" t="str">
        <f t="shared" si="0"/>
        <v>T</v>
      </c>
    </row>
    <row r="54" spans="1:22" x14ac:dyDescent="0.3">
      <c r="A54" s="43">
        <v>37653</v>
      </c>
      <c r="B54" s="83">
        <f>[8]Cartera_Vencida!B54</f>
        <v>2.18127141911781</v>
      </c>
      <c r="C54" s="82">
        <f>[8]Cartera_Vencida!C54</f>
        <v>0.92805032087134798</v>
      </c>
      <c r="D54" s="82">
        <f>[8]Cartera_Vencida!D54</f>
        <v>6.9245789388857695</v>
      </c>
      <c r="E54" s="82">
        <f>[8]Cartera_Vencida!E54</f>
        <v>4.9389833970352501E-2</v>
      </c>
      <c r="F54" s="84">
        <f>[8]Cartera_Vencida!F54</f>
        <v>10.083290512845279</v>
      </c>
      <c r="G54" s="82">
        <f>100*B54/[8]Cartera_Bruta!B55</f>
        <v>3.8829658025884535</v>
      </c>
      <c r="H54" s="82">
        <f>100*C54/[8]Cartera_Bruta!C55</f>
        <v>6.272133582180218</v>
      </c>
      <c r="I54" s="82">
        <f>100*D54/[8]Cartera_Bruta!D55</f>
        <v>34.397044446899052</v>
      </c>
      <c r="J54" s="82">
        <f>100*E54/[8]Cartera_Bruta!F55</f>
        <v>6.5751381747505651</v>
      </c>
      <c r="K54" s="84">
        <f>+F54*100/[8]Cartera_Bruta!G55</f>
        <v>10.97748557765374</v>
      </c>
      <c r="L54" s="82"/>
      <c r="M54" s="82"/>
      <c r="N54" s="82"/>
      <c r="O54" s="82"/>
      <c r="P54" s="82"/>
      <c r="Q54" s="83">
        <f>100*(B54+L54)/([8]Cartera_Bruta!B55+'G2.4B'!L54)</f>
        <v>3.8829658025884535</v>
      </c>
      <c r="R54" s="82">
        <f>100*(C54+M54)/([8]Cartera_Bruta!C55+'G2.4B'!M54)</f>
        <v>6.272133582180218</v>
      </c>
      <c r="S54" s="82">
        <f>100*(D54+N54)/([8]Cartera_Bruta!D55+'G2.4B'!N54)</f>
        <v>34.397044446899052</v>
      </c>
      <c r="T54" s="82">
        <f>100*(E54+O54)/([8]Cartera_Bruta!F55+'G2.4B'!O54)</f>
        <v>6.5751381747505651</v>
      </c>
      <c r="U54" s="84">
        <f>100*(F54+P54)/([8]Cartera_Bruta!G55+'G2.4B'!P54)</f>
        <v>10.97748557765374</v>
      </c>
      <c r="V54" s="48" t="str">
        <f t="shared" si="0"/>
        <v>T</v>
      </c>
    </row>
    <row r="55" spans="1:22" x14ac:dyDescent="0.3">
      <c r="A55" s="43">
        <v>37681</v>
      </c>
      <c r="B55" s="83">
        <f>[8]Cartera_Vencida!B55</f>
        <v>2.0541725087460501</v>
      </c>
      <c r="C55" s="82">
        <f>[8]Cartera_Vencida!C55</f>
        <v>0.94910428284928505</v>
      </c>
      <c r="D55" s="82">
        <f>[8]Cartera_Vencida!D55</f>
        <v>7.1310098164585201</v>
      </c>
      <c r="E55" s="82">
        <f>[8]Cartera_Vencida!E55</f>
        <v>4.9002603018455299E-2</v>
      </c>
      <c r="F55" s="84">
        <f>[8]Cartera_Vencida!F55</f>
        <v>10.18328921107231</v>
      </c>
      <c r="G55" s="82">
        <f>100*B55/[8]Cartera_Bruta!B56</f>
        <v>3.6557254647752275</v>
      </c>
      <c r="H55" s="82">
        <f>100*C55/[8]Cartera_Bruta!C56</f>
        <v>6.4568016450375145</v>
      </c>
      <c r="I55" s="82">
        <f>100*D55/[8]Cartera_Bruta!D56</f>
        <v>35.611024261847128</v>
      </c>
      <c r="J55" s="82">
        <f>100*E55/[8]Cartera_Bruta!F56</f>
        <v>6.4452945124967984</v>
      </c>
      <c r="K55" s="84">
        <f>+F55*100/[8]Cartera_Bruta!G56</f>
        <v>11.108049683588956</v>
      </c>
      <c r="L55" s="82"/>
      <c r="M55" s="82"/>
      <c r="N55" s="82"/>
      <c r="O55" s="82"/>
      <c r="P55" s="82"/>
      <c r="Q55" s="83">
        <f>100*(B55+L55)/([8]Cartera_Bruta!B56+'G2.4B'!L55)</f>
        <v>3.6557254647752275</v>
      </c>
      <c r="R55" s="82">
        <f>100*(C55+M55)/([8]Cartera_Bruta!C56+'G2.4B'!M55)</f>
        <v>6.4568016450375145</v>
      </c>
      <c r="S55" s="82">
        <f>100*(D55+N55)/([8]Cartera_Bruta!D56+'G2.4B'!N55)</f>
        <v>35.611024261847128</v>
      </c>
      <c r="T55" s="82">
        <f>100*(E55+O55)/([8]Cartera_Bruta!F56+'G2.4B'!O55)</f>
        <v>6.4452945124967984</v>
      </c>
      <c r="U55" s="84">
        <f>100*(F55+P55)/([8]Cartera_Bruta!G56+'G2.4B'!P55)</f>
        <v>11.108049683588956</v>
      </c>
      <c r="V55" s="48" t="str">
        <f t="shared" si="0"/>
        <v>T</v>
      </c>
    </row>
    <row r="56" spans="1:22" x14ac:dyDescent="0.3">
      <c r="A56" s="43">
        <v>37712</v>
      </c>
      <c r="B56" s="83">
        <f>[8]Cartera_Vencida!B56</f>
        <v>1.9761609258185899</v>
      </c>
      <c r="C56" s="82">
        <f>[8]Cartera_Vencida!C56</f>
        <v>0.93167634812463407</v>
      </c>
      <c r="D56" s="82">
        <f>[8]Cartera_Vencida!D56</f>
        <v>7.0518449119712603</v>
      </c>
      <c r="E56" s="82">
        <f>[8]Cartera_Vencida!E56</f>
        <v>4.8204970818805502E-2</v>
      </c>
      <c r="F56" s="84">
        <f>[8]Cartera_Vencida!F56</f>
        <v>10.00788715673329</v>
      </c>
      <c r="G56" s="82">
        <f>100*B56/[8]Cartera_Bruta!B57</f>
        <v>3.5002320628579966</v>
      </c>
      <c r="H56" s="82">
        <f>100*C56/[8]Cartera_Bruta!C57</f>
        <v>6.2394745981990649</v>
      </c>
      <c r="I56" s="82">
        <f>100*D56/[8]Cartera_Bruta!D57</f>
        <v>35.466116761894611</v>
      </c>
      <c r="J56" s="82">
        <f>100*E56/[8]Cartera_Bruta!F57</f>
        <v>6.8260177261803445</v>
      </c>
      <c r="K56" s="84">
        <f>+F56*100/[8]Cartera_Bruta!G57</f>
        <v>10.88056391517774</v>
      </c>
      <c r="L56" s="82"/>
      <c r="M56" s="82"/>
      <c r="N56" s="82"/>
      <c r="O56" s="82"/>
      <c r="P56" s="82"/>
      <c r="Q56" s="83">
        <f>100*(B56+L56)/([8]Cartera_Bruta!B57+'G2.4B'!L56)</f>
        <v>3.5002320628579966</v>
      </c>
      <c r="R56" s="82">
        <f>100*(C56+M56)/([8]Cartera_Bruta!C57+'G2.4B'!M56)</f>
        <v>6.2394745981990649</v>
      </c>
      <c r="S56" s="82">
        <f>100*(D56+N56)/([8]Cartera_Bruta!D57+'G2.4B'!N56)</f>
        <v>35.466116761894611</v>
      </c>
      <c r="T56" s="82">
        <f>100*(E56+O56)/([8]Cartera_Bruta!F57+'G2.4B'!O56)</f>
        <v>6.8260177261803445</v>
      </c>
      <c r="U56" s="84">
        <f>100*(F56+P56)/([8]Cartera_Bruta!G57+'G2.4B'!P56)</f>
        <v>10.88056391517774</v>
      </c>
      <c r="V56" s="48" t="str">
        <f t="shared" si="0"/>
        <v>T</v>
      </c>
    </row>
    <row r="57" spans="1:22" x14ac:dyDescent="0.3">
      <c r="A57" s="43">
        <v>37742</v>
      </c>
      <c r="B57" s="83">
        <f>[8]Cartera_Vencida!B57</f>
        <v>2.0291061960170298</v>
      </c>
      <c r="C57" s="82">
        <f>[8]Cartera_Vencida!C57</f>
        <v>0.91423735992321398</v>
      </c>
      <c r="D57" s="82">
        <f>[8]Cartera_Vencida!D57</f>
        <v>7.0823178890099294</v>
      </c>
      <c r="E57" s="82">
        <f>[8]Cartera_Vencida!E57</f>
        <v>4.6971384513026501E-2</v>
      </c>
      <c r="F57" s="84">
        <f>[8]Cartera_Vencida!F57</f>
        <v>10.072632829463201</v>
      </c>
      <c r="G57" s="82">
        <f>100*B57/[8]Cartera_Bruta!B58</f>
        <v>3.5810151118121021</v>
      </c>
      <c r="H57" s="82">
        <f>100*C57/[8]Cartera_Bruta!C58</f>
        <v>6.053658433141698</v>
      </c>
      <c r="I57" s="82">
        <f>100*D57/[8]Cartera_Bruta!D58</f>
        <v>35.812510508721196</v>
      </c>
      <c r="J57" s="82">
        <f>100*E57/[8]Cartera_Bruta!F58</f>
        <v>6.432275197523909</v>
      </c>
      <c r="K57" s="84">
        <f>+F57*100/[8]Cartera_Bruta!G58</f>
        <v>10.916304737827668</v>
      </c>
      <c r="L57" s="82"/>
      <c r="M57" s="82"/>
      <c r="N57" s="82"/>
      <c r="O57" s="82"/>
      <c r="P57" s="82"/>
      <c r="Q57" s="83">
        <f>100*(B57+L57)/([8]Cartera_Bruta!B58+'G2.4B'!L57)</f>
        <v>3.5810151118121021</v>
      </c>
      <c r="R57" s="82">
        <f>100*(C57+M57)/([8]Cartera_Bruta!C58+'G2.4B'!M57)</f>
        <v>6.053658433141698</v>
      </c>
      <c r="S57" s="82">
        <f>100*(D57+N57)/([8]Cartera_Bruta!D58+'G2.4B'!N57)</f>
        <v>35.812510508721196</v>
      </c>
      <c r="T57" s="82">
        <f>100*(E57+O57)/([8]Cartera_Bruta!F58+'G2.4B'!O57)</f>
        <v>6.432275197523909</v>
      </c>
      <c r="U57" s="84">
        <f>100*(F57+P57)/([8]Cartera_Bruta!G58+'G2.4B'!P57)</f>
        <v>10.916304737827668</v>
      </c>
      <c r="V57" s="48" t="str">
        <f t="shared" si="0"/>
        <v>T</v>
      </c>
    </row>
    <row r="58" spans="1:22" x14ac:dyDescent="0.3">
      <c r="A58" s="43">
        <v>37773</v>
      </c>
      <c r="B58" s="83">
        <f>[8]Cartera_Vencida!B58</f>
        <v>1.76201685071366</v>
      </c>
      <c r="C58" s="82">
        <f>[8]Cartera_Vencida!C58</f>
        <v>0.91944239788772497</v>
      </c>
      <c r="D58" s="82">
        <f>[8]Cartera_Vencida!D58</f>
        <v>6.8600017056268197</v>
      </c>
      <c r="E58" s="82">
        <f>[8]Cartera_Vencida!E58</f>
        <v>4.8615658560769E-2</v>
      </c>
      <c r="F58" s="84">
        <f>[8]Cartera_Vencida!F58</f>
        <v>9.5900766127889732</v>
      </c>
      <c r="G58" s="82">
        <f>100*B58/[8]Cartera_Bruta!B59</f>
        <v>3.1614481521595756</v>
      </c>
      <c r="H58" s="82">
        <f>100*C58/[8]Cartera_Bruta!C59</f>
        <v>6.0041535654923521</v>
      </c>
      <c r="I58" s="82">
        <f>100*D58/[8]Cartera_Bruta!D59</f>
        <v>36.485448605203032</v>
      </c>
      <c r="J58" s="82">
        <f>100*E58/[8]Cartera_Bruta!F59</f>
        <v>6.4464112292135534</v>
      </c>
      <c r="K58" s="84">
        <f>+F58*100/[8]Cartera_Bruta!G59</f>
        <v>10.58459500288286</v>
      </c>
      <c r="L58" s="82"/>
      <c r="M58" s="82"/>
      <c r="N58" s="82"/>
      <c r="O58" s="82"/>
      <c r="P58" s="82"/>
      <c r="Q58" s="83">
        <f>100*(B58+L58)/([8]Cartera_Bruta!B59+'G2.4B'!L58)</f>
        <v>3.1614481521595756</v>
      </c>
      <c r="R58" s="82">
        <f>100*(C58+M58)/([8]Cartera_Bruta!C59+'G2.4B'!M58)</f>
        <v>6.0041535654923521</v>
      </c>
      <c r="S58" s="82">
        <f>100*(D58+N58)/([8]Cartera_Bruta!D59+'G2.4B'!N58)</f>
        <v>36.485448605203032</v>
      </c>
      <c r="T58" s="82">
        <f>100*(E58+O58)/([8]Cartera_Bruta!F59+'G2.4B'!O58)</f>
        <v>6.4464112292135534</v>
      </c>
      <c r="U58" s="84">
        <f>100*(F58+P58)/([8]Cartera_Bruta!G59+'G2.4B'!P58)</f>
        <v>10.58459500288286</v>
      </c>
      <c r="V58" s="48" t="str">
        <f t="shared" si="0"/>
        <v>T</v>
      </c>
    </row>
    <row r="59" spans="1:22" x14ac:dyDescent="0.3">
      <c r="A59" s="43">
        <v>37803</v>
      </c>
      <c r="B59" s="83">
        <f>[8]Cartera_Vencida!B59</f>
        <v>1.72304270178763</v>
      </c>
      <c r="C59" s="82">
        <f>[8]Cartera_Vencida!C59</f>
        <v>0.85679964056626901</v>
      </c>
      <c r="D59" s="82">
        <f>[8]Cartera_Vencida!D59</f>
        <v>6.6734581231968297</v>
      </c>
      <c r="E59" s="82">
        <f>[8]Cartera_Vencida!E59</f>
        <v>4.8306606615569896E-2</v>
      </c>
      <c r="F59" s="84">
        <f>[8]Cartera_Vencida!F59</f>
        <v>9.3016070721663002</v>
      </c>
      <c r="G59" s="82">
        <f>100*B59/[8]Cartera_Bruta!B60</f>
        <v>3.0930322676648037</v>
      </c>
      <c r="H59" s="82">
        <f>100*C59/[8]Cartera_Bruta!C60</f>
        <v>5.4689075772859388</v>
      </c>
      <c r="I59" s="82">
        <f>100*D59/[8]Cartera_Bruta!D60</f>
        <v>35.765993581683581</v>
      </c>
      <c r="J59" s="82">
        <f>100*E59/[8]Cartera_Bruta!F60</f>
        <v>5.9687046878937178</v>
      </c>
      <c r="K59" s="84">
        <f>+F59*100/[8]Cartera_Bruta!G60</f>
        <v>10.239327201370454</v>
      </c>
      <c r="L59" s="82"/>
      <c r="M59" s="82"/>
      <c r="N59" s="82"/>
      <c r="O59" s="82"/>
      <c r="P59" s="82"/>
      <c r="Q59" s="83">
        <f>100*(B59+L59)/([8]Cartera_Bruta!B60+'G2.4B'!L59)</f>
        <v>3.0930322676648037</v>
      </c>
      <c r="R59" s="82">
        <f>100*(C59+M59)/([8]Cartera_Bruta!C60+'G2.4B'!M59)</f>
        <v>5.4689075772859388</v>
      </c>
      <c r="S59" s="82">
        <f>100*(D59+N59)/([8]Cartera_Bruta!D60+'G2.4B'!N59)</f>
        <v>35.765993581683581</v>
      </c>
      <c r="T59" s="82">
        <f>100*(E59+O59)/([8]Cartera_Bruta!F60+'G2.4B'!O59)</f>
        <v>5.9687046878937178</v>
      </c>
      <c r="U59" s="84">
        <f>100*(F59+P59)/([8]Cartera_Bruta!G60+'G2.4B'!P59)</f>
        <v>10.239327201370454</v>
      </c>
      <c r="V59" s="48" t="str">
        <f t="shared" si="0"/>
        <v>T</v>
      </c>
    </row>
    <row r="60" spans="1:22" x14ac:dyDescent="0.3">
      <c r="A60" s="43">
        <v>37834</v>
      </c>
      <c r="B60" s="83">
        <f>[8]Cartera_Vencida!B60</f>
        <v>1.7215009560404999</v>
      </c>
      <c r="C60" s="82">
        <f>[8]Cartera_Vencida!C60</f>
        <v>0.91313567508479498</v>
      </c>
      <c r="D60" s="82">
        <f>[8]Cartera_Vencida!D60</f>
        <v>6.6946164985598093</v>
      </c>
      <c r="E60" s="82">
        <f>[8]Cartera_Vencida!E60</f>
        <v>4.8783130131413804E-2</v>
      </c>
      <c r="F60" s="84">
        <f>[8]Cartera_Vencida!F60</f>
        <v>9.3780362598165166</v>
      </c>
      <c r="G60" s="82">
        <f>100*B60/[8]Cartera_Bruta!B61</f>
        <v>3.0803043989445529</v>
      </c>
      <c r="H60" s="82">
        <f>100*C60/[8]Cartera_Bruta!C61</f>
        <v>5.7228667857515498</v>
      </c>
      <c r="I60" s="82">
        <f>100*D60/[8]Cartera_Bruta!D61</f>
        <v>36.01290162980186</v>
      </c>
      <c r="J60" s="82">
        <f>100*E60/[8]Cartera_Bruta!F61</f>
        <v>5.8211023489711211</v>
      </c>
      <c r="K60" s="84">
        <f>+F60*100/[8]Cartera_Bruta!G61</f>
        <v>10.274956470359919</v>
      </c>
      <c r="L60" s="82"/>
      <c r="M60" s="82"/>
      <c r="N60" s="82"/>
      <c r="O60" s="82"/>
      <c r="P60" s="82"/>
      <c r="Q60" s="83">
        <f>100*(B60+L60)/([8]Cartera_Bruta!B61+'G2.4B'!L60)</f>
        <v>3.0803043989445529</v>
      </c>
      <c r="R60" s="82">
        <f>100*(C60+M60)/([8]Cartera_Bruta!C61+'G2.4B'!M60)</f>
        <v>5.7228667857515498</v>
      </c>
      <c r="S60" s="82">
        <f>100*(D60+N60)/([8]Cartera_Bruta!D61+'G2.4B'!N60)</f>
        <v>36.01290162980186</v>
      </c>
      <c r="T60" s="82">
        <f>100*(E60+O60)/([8]Cartera_Bruta!F61+'G2.4B'!O60)</f>
        <v>5.8211023489711211</v>
      </c>
      <c r="U60" s="84">
        <f>100*(F60+P60)/([8]Cartera_Bruta!G61+'G2.4B'!P60)</f>
        <v>10.274956470359919</v>
      </c>
      <c r="V60" s="48" t="str">
        <f t="shared" si="0"/>
        <v>T</v>
      </c>
    </row>
    <row r="61" spans="1:22" x14ac:dyDescent="0.3">
      <c r="A61" s="43">
        <v>37865</v>
      </c>
      <c r="B61" s="83">
        <f>[8]Cartera_Vencida!B61</f>
        <v>1.67632766623244</v>
      </c>
      <c r="C61" s="82">
        <f>[8]Cartera_Vencida!C61</f>
        <v>0.91414412922468702</v>
      </c>
      <c r="D61" s="82">
        <f>[8]Cartera_Vencida!D61</f>
        <v>6.60230463752319</v>
      </c>
      <c r="E61" s="82">
        <f>[8]Cartera_Vencida!E61</f>
        <v>4.7183808887208405E-2</v>
      </c>
      <c r="F61" s="84">
        <f>[8]Cartera_Vencida!F61</f>
        <v>9.2399602418675251</v>
      </c>
      <c r="G61" s="82">
        <f>100*B61/[8]Cartera_Bruta!B62</f>
        <v>2.9746236305222671</v>
      </c>
      <c r="H61" s="82">
        <f>100*C61/[8]Cartera_Bruta!C62</f>
        <v>5.6695532007862921</v>
      </c>
      <c r="I61" s="82">
        <f>100*D61/[8]Cartera_Bruta!D62</f>
        <v>35.87593497428049</v>
      </c>
      <c r="J61" s="82">
        <f>100*E61/[8]Cartera_Bruta!F62</f>
        <v>5.2902946542245042</v>
      </c>
      <c r="K61" s="84">
        <f>+F61*100/[8]Cartera_Bruta!G62</f>
        <v>10.068269678366592</v>
      </c>
      <c r="L61" s="82"/>
      <c r="M61" s="82"/>
      <c r="N61" s="82"/>
      <c r="O61" s="82"/>
      <c r="P61" s="82"/>
      <c r="Q61" s="83">
        <f>100*(B61+L61)/([8]Cartera_Bruta!B62+'G2.4B'!L61)</f>
        <v>2.9746236305222671</v>
      </c>
      <c r="R61" s="82">
        <f>100*(C61+M61)/([8]Cartera_Bruta!C62+'G2.4B'!M61)</f>
        <v>5.6695532007862921</v>
      </c>
      <c r="S61" s="82">
        <f>100*(D61+N61)/([8]Cartera_Bruta!D62+'G2.4B'!N61)</f>
        <v>35.87593497428049</v>
      </c>
      <c r="T61" s="82">
        <f>100*(E61+O61)/([8]Cartera_Bruta!F62+'G2.4B'!O61)</f>
        <v>5.2902946542245042</v>
      </c>
      <c r="U61" s="84">
        <f>100*(F61+P61)/([8]Cartera_Bruta!G62+'G2.4B'!P61)</f>
        <v>10.068269678366592</v>
      </c>
      <c r="V61" s="48" t="str">
        <f t="shared" si="0"/>
        <v>T</v>
      </c>
    </row>
    <row r="62" spans="1:22" x14ac:dyDescent="0.3">
      <c r="A62" s="43">
        <v>37895</v>
      </c>
      <c r="B62" s="83">
        <f>[8]Cartera_Vencida!B62</f>
        <v>1.58733514134757</v>
      </c>
      <c r="C62" s="82">
        <f>[8]Cartera_Vencida!C62</f>
        <v>0.90883807951581896</v>
      </c>
      <c r="D62" s="82">
        <f>[8]Cartera_Vencida!D62</f>
        <v>6.5534812818819903</v>
      </c>
      <c r="E62" s="82">
        <f>[8]Cartera_Vencida!E62</f>
        <v>4.9038313094840101E-2</v>
      </c>
      <c r="F62" s="84">
        <f>[8]Cartera_Vencida!F62</f>
        <v>9.09869281584022</v>
      </c>
      <c r="G62" s="82">
        <f>100*B62/[8]Cartera_Bruta!B63</f>
        <v>2.7701025287390508</v>
      </c>
      <c r="H62" s="82">
        <f>100*C62/[8]Cartera_Bruta!C63</f>
        <v>5.527681893473348</v>
      </c>
      <c r="I62" s="82">
        <f>100*D62/[8]Cartera_Bruta!D63</f>
        <v>35.731690078149228</v>
      </c>
      <c r="J62" s="82">
        <f>100*E62/[8]Cartera_Bruta!F63</f>
        <v>5.2730410166034964</v>
      </c>
      <c r="K62" s="84">
        <f>+F62*100/[8]Cartera_Bruta!G63</f>
        <v>9.7819876218494528</v>
      </c>
      <c r="L62" s="82"/>
      <c r="M62" s="82"/>
      <c r="N62" s="82"/>
      <c r="O62" s="82"/>
      <c r="P62" s="82"/>
      <c r="Q62" s="83">
        <f>100*(B62+L62)/([8]Cartera_Bruta!B63+'G2.4B'!L62)</f>
        <v>2.7701025287390508</v>
      </c>
      <c r="R62" s="82">
        <f>100*(C62+M62)/([8]Cartera_Bruta!C63+'G2.4B'!M62)</f>
        <v>5.527681893473348</v>
      </c>
      <c r="S62" s="82">
        <f>100*(D62+N62)/([8]Cartera_Bruta!D63+'G2.4B'!N62)</f>
        <v>35.731690078149228</v>
      </c>
      <c r="T62" s="82">
        <f>100*(E62+O62)/([8]Cartera_Bruta!F63+'G2.4B'!O62)</f>
        <v>5.2730410166034964</v>
      </c>
      <c r="U62" s="84">
        <f>100*(F62+P62)/([8]Cartera_Bruta!G63+'G2.4B'!P62)</f>
        <v>9.7819876218494528</v>
      </c>
      <c r="V62" s="48" t="str">
        <f t="shared" si="0"/>
        <v>T</v>
      </c>
    </row>
    <row r="63" spans="1:22" x14ac:dyDescent="0.3">
      <c r="A63" s="43">
        <v>37926</v>
      </c>
      <c r="B63" s="83">
        <f>[8]Cartera_Vencida!B63</f>
        <v>1.4898851986256101</v>
      </c>
      <c r="C63" s="82">
        <f>[8]Cartera_Vencida!C63</f>
        <v>0.95988119544059702</v>
      </c>
      <c r="D63" s="82">
        <f>[8]Cartera_Vencida!D63</f>
        <v>6.4776641451929304</v>
      </c>
      <c r="E63" s="82">
        <f>[8]Cartera_Vencida!E63</f>
        <v>5.3197956153510799E-2</v>
      </c>
      <c r="F63" s="84">
        <f>[8]Cartera_Vencida!F63</f>
        <v>8.980628495412649</v>
      </c>
      <c r="G63" s="82">
        <f>100*B63/[8]Cartera_Bruta!B64</f>
        <v>2.5901983278448579</v>
      </c>
      <c r="H63" s="82">
        <f>100*C63/[8]Cartera_Bruta!C64</f>
        <v>5.7232419315227983</v>
      </c>
      <c r="I63" s="82">
        <f>100*D63/[8]Cartera_Bruta!D64</f>
        <v>36.737386653708498</v>
      </c>
      <c r="J63" s="82">
        <f>100*E63/[8]Cartera_Bruta!F64</f>
        <v>5.506016584535196</v>
      </c>
      <c r="K63" s="84">
        <f>+F63*100/[8]Cartera_Bruta!G64</f>
        <v>9.6679957293985073</v>
      </c>
      <c r="L63" s="82"/>
      <c r="M63" s="82"/>
      <c r="N63" s="82"/>
      <c r="O63" s="82"/>
      <c r="P63" s="82"/>
      <c r="Q63" s="83">
        <f>100*(B63+L63)/([8]Cartera_Bruta!B64+'G2.4B'!L63)</f>
        <v>2.5901983278448579</v>
      </c>
      <c r="R63" s="82">
        <f>100*(C63+M63)/([8]Cartera_Bruta!C64+'G2.4B'!M63)</f>
        <v>5.7232419315227983</v>
      </c>
      <c r="S63" s="82">
        <f>100*(D63+N63)/([8]Cartera_Bruta!D64+'G2.4B'!N63)</f>
        <v>36.737386653708498</v>
      </c>
      <c r="T63" s="82">
        <f>100*(E63+O63)/([8]Cartera_Bruta!F64+'G2.4B'!O63)</f>
        <v>5.506016584535196</v>
      </c>
      <c r="U63" s="84">
        <f>100*(F63+P63)/([8]Cartera_Bruta!G64+'G2.4B'!P63)</f>
        <v>9.6679957293985073</v>
      </c>
      <c r="V63" s="48" t="str">
        <f t="shared" si="0"/>
        <v>T</v>
      </c>
    </row>
    <row r="64" spans="1:22" x14ac:dyDescent="0.3">
      <c r="A64" s="43">
        <v>37956</v>
      </c>
      <c r="B64" s="83">
        <f>[8]Cartera_Vencida!B64</f>
        <v>1.36797936460832</v>
      </c>
      <c r="C64" s="82">
        <f>[8]Cartera_Vencida!C64</f>
        <v>0.84707912948017894</v>
      </c>
      <c r="D64" s="82">
        <f>[8]Cartera_Vencida!D64</f>
        <v>5.82619106575891</v>
      </c>
      <c r="E64" s="82">
        <f>[8]Cartera_Vencida!E64</f>
        <v>5.2548302477119696E-2</v>
      </c>
      <c r="F64" s="84">
        <f>[8]Cartera_Vencida!F64</f>
        <v>8.0937978623245286</v>
      </c>
      <c r="G64" s="82">
        <f>100*B64/[8]Cartera_Bruta!B65</f>
        <v>2.3897376661527256</v>
      </c>
      <c r="H64" s="82">
        <f>100*C64/[8]Cartera_Bruta!C65</f>
        <v>4.9545009563379629</v>
      </c>
      <c r="I64" s="82">
        <f>100*D64/[8]Cartera_Bruta!D65</f>
        <v>33.822525967515986</v>
      </c>
      <c r="J64" s="82">
        <f>100*E64/[8]Cartera_Bruta!F65</f>
        <v>5.3418417485275844</v>
      </c>
      <c r="K64" s="84">
        <f>+F64*100/[8]Cartera_Bruta!G65</f>
        <v>8.7452716243403934</v>
      </c>
      <c r="L64" s="82"/>
      <c r="M64" s="82"/>
      <c r="N64" s="82"/>
      <c r="O64" s="82"/>
      <c r="P64" s="82"/>
      <c r="Q64" s="83">
        <f>100*(B64+L64)/([8]Cartera_Bruta!B65+'G2.4B'!L64)</f>
        <v>2.3897376661527256</v>
      </c>
      <c r="R64" s="82">
        <f>100*(C64+M64)/([8]Cartera_Bruta!C65+'G2.4B'!M64)</f>
        <v>4.9545009563379629</v>
      </c>
      <c r="S64" s="82">
        <f>100*(D64+N64)/([8]Cartera_Bruta!D65+'G2.4B'!N64)</f>
        <v>33.822525967515986</v>
      </c>
      <c r="T64" s="82">
        <f>100*(E64+O64)/([8]Cartera_Bruta!F65+'G2.4B'!O64)</f>
        <v>5.3418417485275844</v>
      </c>
      <c r="U64" s="84">
        <f>100*(F64+P64)/([8]Cartera_Bruta!G65+'G2.4B'!P64)</f>
        <v>8.7452716243403934</v>
      </c>
      <c r="V64" s="48" t="str">
        <f t="shared" si="0"/>
        <v>T</v>
      </c>
    </row>
    <row r="65" spans="1:22" x14ac:dyDescent="0.3">
      <c r="A65" s="43">
        <v>37987</v>
      </c>
      <c r="B65" s="83">
        <f>[8]Cartera_Vencida!B65</f>
        <v>1.6779590011019598</v>
      </c>
      <c r="C65" s="82">
        <f>[8]Cartera_Vencida!C65</f>
        <v>0.90828773400486895</v>
      </c>
      <c r="D65" s="82">
        <f>[8]Cartera_Vencida!D65</f>
        <v>5.85330343332675</v>
      </c>
      <c r="E65" s="82">
        <f>[8]Cartera_Vencida!E65</f>
        <v>5.5791489853780095E-2</v>
      </c>
      <c r="F65" s="84">
        <f>[8]Cartera_Vencida!F65</f>
        <v>8.4953416582873587</v>
      </c>
      <c r="G65" s="82">
        <f>100*B65/[8]Cartera_Bruta!B66</f>
        <v>2.7543588770127343</v>
      </c>
      <c r="H65" s="82">
        <f>100*C65/[8]Cartera_Bruta!C66</f>
        <v>5.1802618062993462</v>
      </c>
      <c r="I65" s="82">
        <f>100*D65/[8]Cartera_Bruta!D66</f>
        <v>34.193500738334833</v>
      </c>
      <c r="J65" s="82">
        <f>100*E65/[8]Cartera_Bruta!F66</f>
        <v>5.602453957577036</v>
      </c>
      <c r="K65" s="84">
        <f>+F65*100/[8]Cartera_Bruta!G66</f>
        <v>8.797284574214677</v>
      </c>
      <c r="L65" s="82"/>
      <c r="M65" s="82"/>
      <c r="N65" s="82"/>
      <c r="O65" s="82"/>
      <c r="P65" s="82"/>
      <c r="Q65" s="83">
        <f>100*(B65+L65)/([8]Cartera_Bruta!B66+'G2.4B'!L65)</f>
        <v>2.7543588770127343</v>
      </c>
      <c r="R65" s="82">
        <f>100*(C65+M65)/([8]Cartera_Bruta!C66+'G2.4B'!M65)</f>
        <v>5.1802618062993462</v>
      </c>
      <c r="S65" s="82">
        <f>100*(D65+N65)/([8]Cartera_Bruta!D66+'G2.4B'!N65)</f>
        <v>34.193500738334833</v>
      </c>
      <c r="T65" s="82">
        <f>100*(E65+O65)/([8]Cartera_Bruta!F66+'G2.4B'!O65)</f>
        <v>5.602453957577036</v>
      </c>
      <c r="U65" s="84">
        <f>100*(F65+P65)/([8]Cartera_Bruta!G66+'G2.4B'!P65)</f>
        <v>8.797284574214677</v>
      </c>
      <c r="V65" s="48" t="str">
        <f t="shared" si="0"/>
        <v>T</v>
      </c>
    </row>
    <row r="66" spans="1:22" x14ac:dyDescent="0.3">
      <c r="A66" s="43">
        <v>38018</v>
      </c>
      <c r="B66" s="83">
        <f>[8]Cartera_Vencida!B66</f>
        <v>1.63071471910754</v>
      </c>
      <c r="C66" s="82">
        <f>[8]Cartera_Vencida!C66</f>
        <v>0.94802800513363306</v>
      </c>
      <c r="D66" s="82">
        <f>[8]Cartera_Vencida!D66</f>
        <v>5.7163901979248504</v>
      </c>
      <c r="E66" s="82">
        <f>[8]Cartera_Vencida!E66</f>
        <v>5.6826025081082206E-2</v>
      </c>
      <c r="F66" s="84">
        <f>[8]Cartera_Vencida!F66</f>
        <v>8.3519589472471054</v>
      </c>
      <c r="G66" s="82">
        <f>100*B66/[8]Cartera_Bruta!B67</f>
        <v>2.667174961963636</v>
      </c>
      <c r="H66" s="82">
        <f>100*C66/[8]Cartera_Bruta!C67</f>
        <v>5.4101595571543513</v>
      </c>
      <c r="I66" s="82">
        <f>100*D66/[8]Cartera_Bruta!D67</f>
        <v>33.796655234565691</v>
      </c>
      <c r="J66" s="82">
        <f>100*E66/[8]Cartera_Bruta!F67</f>
        <v>5.5760656434234948</v>
      </c>
      <c r="K66" s="84">
        <f>+F66*100/[8]Cartera_Bruta!G67</f>
        <v>8.6462396704703401</v>
      </c>
      <c r="L66" s="82"/>
      <c r="M66" s="82"/>
      <c r="N66" s="82"/>
      <c r="O66" s="82"/>
      <c r="P66" s="82"/>
      <c r="Q66" s="83">
        <f>100*(B66+L66)/([8]Cartera_Bruta!B67+'G2.4B'!L66)</f>
        <v>2.667174961963636</v>
      </c>
      <c r="R66" s="82">
        <f>100*(C66+M66)/([8]Cartera_Bruta!C67+'G2.4B'!M66)</f>
        <v>5.4101595571543513</v>
      </c>
      <c r="S66" s="82">
        <f>100*(D66+N66)/([8]Cartera_Bruta!D67+'G2.4B'!N66)</f>
        <v>33.796655234565691</v>
      </c>
      <c r="T66" s="82">
        <f>100*(E66+O66)/([8]Cartera_Bruta!F67+'G2.4B'!O66)</f>
        <v>5.5760656434234948</v>
      </c>
      <c r="U66" s="84">
        <f>100*(F66+P66)/([8]Cartera_Bruta!G67+'G2.4B'!P66)</f>
        <v>8.6462396704703401</v>
      </c>
      <c r="V66" s="48" t="str">
        <f t="shared" si="0"/>
        <v>T</v>
      </c>
    </row>
    <row r="67" spans="1:22" x14ac:dyDescent="0.3">
      <c r="A67" s="43">
        <v>38047</v>
      </c>
      <c r="B67" s="83">
        <f>[8]Cartera_Vencida!B67</f>
        <v>1.55391061600755</v>
      </c>
      <c r="C67" s="82">
        <f>[8]Cartera_Vencida!C67</f>
        <v>0.960980167696871</v>
      </c>
      <c r="D67" s="82">
        <f>[8]Cartera_Vencida!D67</f>
        <v>5.67136328880013</v>
      </c>
      <c r="E67" s="82">
        <f>[8]Cartera_Vencida!E67</f>
        <v>6.0565090057165198E-2</v>
      </c>
      <c r="F67" s="84">
        <f>[8]Cartera_Vencida!F67</f>
        <v>8.2468191625617155</v>
      </c>
      <c r="G67" s="82">
        <f>100*B67/[8]Cartera_Bruta!B68</f>
        <v>2.5940280566444129</v>
      </c>
      <c r="H67" s="82">
        <f>100*C67/[8]Cartera_Bruta!C68</f>
        <v>5.4378438621601148</v>
      </c>
      <c r="I67" s="82">
        <f>100*D67/[8]Cartera_Bruta!D68</f>
        <v>33.807769809933049</v>
      </c>
      <c r="J67" s="82">
        <f>100*E67/[8]Cartera_Bruta!F68</f>
        <v>5.9484023060365043</v>
      </c>
      <c r="K67" s="84">
        <f>+F67*100/[8]Cartera_Bruta!G68</f>
        <v>8.6472776006873691</v>
      </c>
      <c r="L67" s="82"/>
      <c r="M67" s="82"/>
      <c r="N67" s="82"/>
      <c r="O67" s="82"/>
      <c r="P67" s="82"/>
      <c r="Q67" s="83">
        <f>100*(B67+L67)/([8]Cartera_Bruta!B68+'G2.4B'!L67)</f>
        <v>2.5940280566444129</v>
      </c>
      <c r="R67" s="82">
        <f>100*(C67+M67)/([8]Cartera_Bruta!C68+'G2.4B'!M67)</f>
        <v>5.4378438621601148</v>
      </c>
      <c r="S67" s="82">
        <f>100*(D67+N67)/([8]Cartera_Bruta!D68+'G2.4B'!N67)</f>
        <v>33.807769809933049</v>
      </c>
      <c r="T67" s="82">
        <f>100*(E67+O67)/([8]Cartera_Bruta!F68+'G2.4B'!O67)</f>
        <v>5.9484023060365043</v>
      </c>
      <c r="U67" s="84">
        <f>100*(F67+P67)/([8]Cartera_Bruta!G68+'G2.4B'!P67)</f>
        <v>8.6472776006873691</v>
      </c>
      <c r="V67" s="48" t="str">
        <f t="shared" si="0"/>
        <v>T</v>
      </c>
    </row>
    <row r="68" spans="1:22" x14ac:dyDescent="0.3">
      <c r="A68" s="43">
        <v>38078</v>
      </c>
      <c r="B68" s="83">
        <f>[8]Cartera_Vencida!B68</f>
        <v>1.5876798791131301</v>
      </c>
      <c r="C68" s="82">
        <f>[8]Cartera_Vencida!C68</f>
        <v>0.99500599267382395</v>
      </c>
      <c r="D68" s="82">
        <f>[8]Cartera_Vencida!D68</f>
        <v>5.6426826851353598</v>
      </c>
      <c r="E68" s="82">
        <f>[8]Cartera_Vencida!E68</f>
        <v>6.5366424394362396E-2</v>
      </c>
      <c r="F68" s="84">
        <f>[8]Cartera_Vencida!F68</f>
        <v>8.2907349813166764</v>
      </c>
      <c r="G68" s="82">
        <f>100*B68/[8]Cartera_Bruta!B69</f>
        <v>2.6343542998737908</v>
      </c>
      <c r="H68" s="82">
        <f>100*C68/[8]Cartera_Bruta!C69</f>
        <v>5.5064995060117035</v>
      </c>
      <c r="I68" s="82">
        <f>100*D68/[8]Cartera_Bruta!D69</f>
        <v>33.741688432330236</v>
      </c>
      <c r="J68" s="82">
        <f>100*E68/[8]Cartera_Bruta!F69</f>
        <v>6.504452747953807</v>
      </c>
      <c r="K68" s="84">
        <f>+F68*100/[8]Cartera_Bruta!G69</f>
        <v>8.6302430356800013</v>
      </c>
      <c r="L68" s="82"/>
      <c r="M68" s="82"/>
      <c r="N68" s="82"/>
      <c r="O68" s="82"/>
      <c r="P68" s="82"/>
      <c r="Q68" s="83">
        <f>100*(B68+L68)/([8]Cartera_Bruta!B69+'G2.4B'!L68)</f>
        <v>2.6343542998737908</v>
      </c>
      <c r="R68" s="82">
        <f>100*(C68+M68)/([8]Cartera_Bruta!C69+'G2.4B'!M68)</f>
        <v>5.5064995060117035</v>
      </c>
      <c r="S68" s="82">
        <f>100*(D68+N68)/([8]Cartera_Bruta!D69+'G2.4B'!N68)</f>
        <v>33.741688432330236</v>
      </c>
      <c r="T68" s="82">
        <f>100*(E68+O68)/([8]Cartera_Bruta!F69+'G2.4B'!O68)</f>
        <v>6.504452747953807</v>
      </c>
      <c r="U68" s="84">
        <f>100*(F68+P68)/([8]Cartera_Bruta!G69+'G2.4B'!P68)</f>
        <v>8.6302430356800013</v>
      </c>
      <c r="V68" s="48" t="str">
        <f t="shared" si="0"/>
        <v>T</v>
      </c>
    </row>
    <row r="69" spans="1:22" x14ac:dyDescent="0.3">
      <c r="A69" s="43">
        <v>38108</v>
      </c>
      <c r="B69" s="83">
        <f>[8]Cartera_Vencida!B69</f>
        <v>1.5272919749717</v>
      </c>
      <c r="C69" s="82">
        <f>[8]Cartera_Vencida!C69</f>
        <v>1.00187006782562</v>
      </c>
      <c r="D69" s="82">
        <f>[8]Cartera_Vencida!D69</f>
        <v>5.4100134994368299</v>
      </c>
      <c r="E69" s="82">
        <f>[8]Cartera_Vencida!E69</f>
        <v>6.6387558835122693E-2</v>
      </c>
      <c r="F69" s="84">
        <f>[8]Cartera_Vencida!F69</f>
        <v>8.0055631010692725</v>
      </c>
      <c r="G69" s="82">
        <f>100*B69/[8]Cartera_Bruta!B70</f>
        <v>2.4849335634067815</v>
      </c>
      <c r="H69" s="82">
        <f>100*C69/[8]Cartera_Bruta!C70</f>
        <v>5.4573794560864348</v>
      </c>
      <c r="I69" s="82">
        <f>100*D69/[8]Cartera_Bruta!D70</f>
        <v>32.930015986281404</v>
      </c>
      <c r="J69" s="82">
        <f>100*E69/[8]Cartera_Bruta!F70</f>
        <v>6.6044704712029638</v>
      </c>
      <c r="K69" s="84">
        <f>+F69*100/[8]Cartera_Bruta!G70</f>
        <v>8.231587927408242</v>
      </c>
      <c r="L69" s="82"/>
      <c r="M69" s="82"/>
      <c r="N69" s="82"/>
      <c r="O69" s="82"/>
      <c r="P69" s="82"/>
      <c r="Q69" s="83">
        <f>100*(B69+L69)/([8]Cartera_Bruta!B70+'G2.4B'!L69)</f>
        <v>2.4849335634067815</v>
      </c>
      <c r="R69" s="82">
        <f>100*(C69+M69)/([8]Cartera_Bruta!C70+'G2.4B'!M69)</f>
        <v>5.4573794560864348</v>
      </c>
      <c r="S69" s="82">
        <f>100*(D69+N69)/([8]Cartera_Bruta!D70+'G2.4B'!N69)</f>
        <v>32.930015986281404</v>
      </c>
      <c r="T69" s="82">
        <f>100*(E69+O69)/([8]Cartera_Bruta!F70+'G2.4B'!O69)</f>
        <v>6.6044704712029638</v>
      </c>
      <c r="U69" s="84">
        <f>100*(F69+P69)/([8]Cartera_Bruta!G70+'G2.4B'!P69)</f>
        <v>8.231587927408242</v>
      </c>
      <c r="V69" s="48" t="str">
        <f t="shared" ref="V69:V132" si="1">+IF(K69&gt;=5,"T","F")</f>
        <v>T</v>
      </c>
    </row>
    <row r="70" spans="1:22" x14ac:dyDescent="0.3">
      <c r="A70" s="43">
        <v>38139</v>
      </c>
      <c r="B70" s="83">
        <f>[8]Cartera_Vencida!B70</f>
        <v>1.4963698574838</v>
      </c>
      <c r="C70" s="82">
        <f>[8]Cartera_Vencida!C70</f>
        <v>0.96669945948579594</v>
      </c>
      <c r="D70" s="82">
        <f>[8]Cartera_Vencida!D70</f>
        <v>4.5323389411003596</v>
      </c>
      <c r="E70" s="82">
        <f>[8]Cartera_Vencida!E70</f>
        <v>6.7030305405522003E-2</v>
      </c>
      <c r="F70" s="84">
        <f>[8]Cartera_Vencida!F70</f>
        <v>7.062438563475478</v>
      </c>
      <c r="G70" s="82">
        <f>100*B70/[8]Cartera_Bruta!B71</f>
        <v>2.3838036613413061</v>
      </c>
      <c r="H70" s="82">
        <f>100*C70/[8]Cartera_Bruta!C71</f>
        <v>5.2055328725275816</v>
      </c>
      <c r="I70" s="82">
        <f>100*D70/[8]Cartera_Bruta!D71</f>
        <v>29.031714860518498</v>
      </c>
      <c r="J70" s="82">
        <f>100*E70/[8]Cartera_Bruta!F71</f>
        <v>6.5305325089780029</v>
      </c>
      <c r="K70" s="84">
        <f>+F70*100/[8]Cartera_Bruta!G71</f>
        <v>7.2079620968999798</v>
      </c>
      <c r="L70" s="82"/>
      <c r="M70" s="82"/>
      <c r="N70" s="82"/>
      <c r="O70" s="82"/>
      <c r="P70" s="82"/>
      <c r="Q70" s="83">
        <f>100*(B70+L70)/([8]Cartera_Bruta!B71+'G2.4B'!L70)</f>
        <v>2.3838036613413061</v>
      </c>
      <c r="R70" s="82">
        <f>100*(C70+M70)/([8]Cartera_Bruta!C71+'G2.4B'!M70)</f>
        <v>5.2055328725275816</v>
      </c>
      <c r="S70" s="82">
        <f>100*(D70+N70)/([8]Cartera_Bruta!D71+'G2.4B'!N70)</f>
        <v>29.031714860518498</v>
      </c>
      <c r="T70" s="82">
        <f>100*(E70+O70)/([8]Cartera_Bruta!F71+'G2.4B'!O70)</f>
        <v>6.5305325089780029</v>
      </c>
      <c r="U70" s="84">
        <f>100*(F70+P70)/([8]Cartera_Bruta!G71+'G2.4B'!P70)</f>
        <v>7.2079620968999798</v>
      </c>
      <c r="V70" s="48" t="str">
        <f t="shared" si="1"/>
        <v>T</v>
      </c>
    </row>
    <row r="71" spans="1:22" x14ac:dyDescent="0.3">
      <c r="A71" s="43">
        <v>38169</v>
      </c>
      <c r="B71" s="83">
        <f>[8]Cartera_Vencida!B71</f>
        <v>1.5818487568241502</v>
      </c>
      <c r="C71" s="82">
        <f>[8]Cartera_Vencida!C71</f>
        <v>0.99643411465871801</v>
      </c>
      <c r="D71" s="82">
        <f>[8]Cartera_Vencida!D71</f>
        <v>4.4421235894260995</v>
      </c>
      <c r="E71" s="82">
        <f>[8]Cartera_Vencida!E71</f>
        <v>7.0193482255120995E-2</v>
      </c>
      <c r="F71" s="84">
        <f>[8]Cartera_Vencida!F71</f>
        <v>7.0905999431640883</v>
      </c>
      <c r="G71" s="82">
        <f>100*B71/[8]Cartera_Bruta!B72</f>
        <v>2.4790150925950889</v>
      </c>
      <c r="H71" s="82">
        <f>100*C71/[8]Cartera_Bruta!C72</f>
        <v>5.2592262434378796</v>
      </c>
      <c r="I71" s="82">
        <f>100*D71/[8]Cartera_Bruta!D72</f>
        <v>28.573958548989314</v>
      </c>
      <c r="J71" s="82">
        <f>100*E71/[8]Cartera_Bruta!F72</f>
        <v>6.635238057976939</v>
      </c>
      <c r="K71" s="84">
        <f>+F71*100/[8]Cartera_Bruta!G72</f>
        <v>7.136278390005546</v>
      </c>
      <c r="L71" s="82"/>
      <c r="M71" s="82"/>
      <c r="N71" s="82"/>
      <c r="O71" s="82"/>
      <c r="P71" s="82"/>
      <c r="Q71" s="83">
        <f>100*(B71+L71)/([8]Cartera_Bruta!B72+'G2.4B'!L71)</f>
        <v>2.4790150925950889</v>
      </c>
      <c r="R71" s="82">
        <f>100*(C71+M71)/([8]Cartera_Bruta!C72+'G2.4B'!M71)</f>
        <v>5.2592262434378796</v>
      </c>
      <c r="S71" s="82">
        <f>100*(D71+N71)/([8]Cartera_Bruta!D72+'G2.4B'!N71)</f>
        <v>28.573958548989314</v>
      </c>
      <c r="T71" s="82">
        <f>100*(E71+O71)/([8]Cartera_Bruta!F72+'G2.4B'!O71)</f>
        <v>6.635238057976939</v>
      </c>
      <c r="U71" s="84">
        <f>100*(F71+P71)/([8]Cartera_Bruta!G72+'G2.4B'!P71)</f>
        <v>7.136278390005546</v>
      </c>
      <c r="V71" s="48" t="str">
        <f t="shared" si="1"/>
        <v>T</v>
      </c>
    </row>
    <row r="72" spans="1:22" x14ac:dyDescent="0.3">
      <c r="A72" s="43">
        <v>38200</v>
      </c>
      <c r="B72" s="83">
        <f>[8]Cartera_Vencida!B72</f>
        <v>1.5578108089755098</v>
      </c>
      <c r="C72" s="82">
        <f>[8]Cartera_Vencida!C72</f>
        <v>0.97229733656086603</v>
      </c>
      <c r="D72" s="82">
        <f>[8]Cartera_Vencida!D72</f>
        <v>4.07438705410088</v>
      </c>
      <c r="E72" s="82">
        <f>[8]Cartera_Vencida!E72</f>
        <v>6.6940030895376798E-2</v>
      </c>
      <c r="F72" s="84">
        <f>[8]Cartera_Vencida!F72</f>
        <v>6.6714352305326328</v>
      </c>
      <c r="G72" s="82">
        <f>100*B72/[8]Cartera_Bruta!B73</f>
        <v>2.4113964587989298</v>
      </c>
      <c r="H72" s="82">
        <f>100*C72/[8]Cartera_Bruta!C73</f>
        <v>5.0230517868190345</v>
      </c>
      <c r="I72" s="82">
        <f>100*D72/[8]Cartera_Bruta!D73</f>
        <v>26.850416523219486</v>
      </c>
      <c r="J72" s="82">
        <f>100*E72/[8]Cartera_Bruta!F73</f>
        <v>6.0842722216911875</v>
      </c>
      <c r="K72" s="84">
        <f>+F72*100/[8]Cartera_Bruta!G73</f>
        <v>6.6559050338044976</v>
      </c>
      <c r="L72" s="82"/>
      <c r="M72" s="82"/>
      <c r="N72" s="82"/>
      <c r="O72" s="82"/>
      <c r="P72" s="82"/>
      <c r="Q72" s="83">
        <f>100*(B72+L72)/([8]Cartera_Bruta!B73+'G2.4B'!L72)</f>
        <v>2.4113964587989298</v>
      </c>
      <c r="R72" s="82">
        <f>100*(C72+M72)/([8]Cartera_Bruta!C73+'G2.4B'!M72)</f>
        <v>5.0230517868190345</v>
      </c>
      <c r="S72" s="82">
        <f>100*(D72+N72)/([8]Cartera_Bruta!D73+'G2.4B'!N72)</f>
        <v>26.850416523219486</v>
      </c>
      <c r="T72" s="82">
        <f>100*(E72+O72)/([8]Cartera_Bruta!F73+'G2.4B'!O72)</f>
        <v>6.0842722216911875</v>
      </c>
      <c r="U72" s="84">
        <f>100*(F72+P72)/([8]Cartera_Bruta!G73+'G2.4B'!P72)</f>
        <v>6.6559050338044976</v>
      </c>
      <c r="V72" s="48" t="str">
        <f t="shared" si="1"/>
        <v>T</v>
      </c>
    </row>
    <row r="73" spans="1:22" x14ac:dyDescent="0.3">
      <c r="A73" s="43">
        <v>38231</v>
      </c>
      <c r="B73" s="83">
        <f>[8]Cartera_Vencida!B73</f>
        <v>1.43388313262547</v>
      </c>
      <c r="C73" s="82">
        <f>[8]Cartera_Vencida!C73</f>
        <v>1.0135212263770199</v>
      </c>
      <c r="D73" s="82">
        <f>[8]Cartera_Vencida!D73</f>
        <v>3.6120636148871297</v>
      </c>
      <c r="E73" s="82">
        <f>[8]Cartera_Vencida!E73</f>
        <v>6.7891338220686603E-2</v>
      </c>
      <c r="F73" s="84">
        <f>[8]Cartera_Vencida!F73</f>
        <v>6.1273593121103058</v>
      </c>
      <c r="G73" s="82">
        <f>100*B73/[8]Cartera_Bruta!B74</f>
        <v>2.1859907629624331</v>
      </c>
      <c r="H73" s="82">
        <f>100*C73/[8]Cartera_Bruta!C74</f>
        <v>5.1048579130681215</v>
      </c>
      <c r="I73" s="82">
        <f>100*D73/[8]Cartera_Bruta!D74</f>
        <v>24.522723158416454</v>
      </c>
      <c r="J73" s="82">
        <f>100*E73/[8]Cartera_Bruta!F74</f>
        <v>5.8801891951222141</v>
      </c>
      <c r="K73" s="84">
        <f>+F73*100/[8]Cartera_Bruta!G74</f>
        <v>6.0467986782961392</v>
      </c>
      <c r="L73" s="82"/>
      <c r="M73" s="82"/>
      <c r="N73" s="82"/>
      <c r="O73" s="82"/>
      <c r="P73" s="82"/>
      <c r="Q73" s="83">
        <f>100*(B73+L73)/([8]Cartera_Bruta!B74+'G2.4B'!L73)</f>
        <v>2.1859907629624331</v>
      </c>
      <c r="R73" s="82">
        <f>100*(C73+M73)/([8]Cartera_Bruta!C74+'G2.4B'!M73)</f>
        <v>5.1048579130681215</v>
      </c>
      <c r="S73" s="82">
        <f>100*(D73+N73)/([8]Cartera_Bruta!D74+'G2.4B'!N73)</f>
        <v>24.522723158416454</v>
      </c>
      <c r="T73" s="82">
        <f>100*(E73+O73)/([8]Cartera_Bruta!F74+'G2.4B'!O73)</f>
        <v>5.8801891951222141</v>
      </c>
      <c r="U73" s="84">
        <f>100*(F73+P73)/([8]Cartera_Bruta!G74+'G2.4B'!P73)</f>
        <v>6.0467986782961392</v>
      </c>
      <c r="V73" s="48" t="str">
        <f t="shared" si="1"/>
        <v>T</v>
      </c>
    </row>
    <row r="74" spans="1:22" x14ac:dyDescent="0.3">
      <c r="A74" s="43">
        <v>38261</v>
      </c>
      <c r="B74" s="83">
        <f>[8]Cartera_Vencida!B74</f>
        <v>1.4064158980643402</v>
      </c>
      <c r="C74" s="82">
        <f>[8]Cartera_Vencida!C74</f>
        <v>1.02433448144664</v>
      </c>
      <c r="D74" s="82">
        <f>[8]Cartera_Vencida!D74</f>
        <v>3.5311301112611697</v>
      </c>
      <c r="E74" s="82">
        <f>[8]Cartera_Vencida!E74</f>
        <v>7.1319538398307403E-2</v>
      </c>
      <c r="F74" s="84">
        <f>[8]Cartera_Vencida!F74</f>
        <v>6.0332000291704571</v>
      </c>
      <c r="G74" s="82">
        <f>100*B74/[8]Cartera_Bruta!B75</f>
        <v>2.1234207932126221</v>
      </c>
      <c r="H74" s="82">
        <f>100*C74/[8]Cartera_Bruta!C75</f>
        <v>5.0320977477369615</v>
      </c>
      <c r="I74" s="82">
        <f>100*D74/[8]Cartera_Bruta!D75</f>
        <v>24.08938966452628</v>
      </c>
      <c r="J74" s="82">
        <f>100*E74/[8]Cartera_Bruta!F75</f>
        <v>5.8750673124461255</v>
      </c>
      <c r="K74" s="84">
        <f>+F74*100/[8]Cartera_Bruta!G75</f>
        <v>5.8882378550242001</v>
      </c>
      <c r="L74" s="82"/>
      <c r="M74" s="82"/>
      <c r="N74" s="82"/>
      <c r="O74" s="82"/>
      <c r="P74" s="82"/>
      <c r="Q74" s="83">
        <f>100*(B74+L74)/([8]Cartera_Bruta!B75+'G2.4B'!L74)</f>
        <v>2.1234207932126221</v>
      </c>
      <c r="R74" s="82">
        <f>100*(C74+M74)/([8]Cartera_Bruta!C75+'G2.4B'!M74)</f>
        <v>5.0320977477369615</v>
      </c>
      <c r="S74" s="82">
        <f>100*(D74+N74)/([8]Cartera_Bruta!D75+'G2.4B'!N74)</f>
        <v>24.08938966452628</v>
      </c>
      <c r="T74" s="82">
        <f>100*(E74+O74)/([8]Cartera_Bruta!F75+'G2.4B'!O74)</f>
        <v>5.8750673124461255</v>
      </c>
      <c r="U74" s="84">
        <f>100*(F74+P74)/([8]Cartera_Bruta!G75+'G2.4B'!P74)</f>
        <v>5.8882378550242001</v>
      </c>
      <c r="V74" s="48" t="str">
        <f t="shared" si="1"/>
        <v>T</v>
      </c>
    </row>
    <row r="75" spans="1:22" x14ac:dyDescent="0.3">
      <c r="A75" s="43">
        <v>38292</v>
      </c>
      <c r="B75" s="83">
        <f>[8]Cartera_Vencida!B75</f>
        <v>1.4102484799644301</v>
      </c>
      <c r="C75" s="82">
        <f>[8]Cartera_Vencida!C75</f>
        <v>1.02549988870135</v>
      </c>
      <c r="D75" s="82">
        <f>[8]Cartera_Vencida!D75</f>
        <v>3.3800059077475098</v>
      </c>
      <c r="E75" s="82">
        <f>[8]Cartera_Vencida!E75</f>
        <v>7.9377512293956204E-2</v>
      </c>
      <c r="F75" s="84">
        <f>[8]Cartera_Vencida!F75</f>
        <v>5.8951317887072463</v>
      </c>
      <c r="G75" s="82">
        <f>100*B75/[8]Cartera_Bruta!B76</f>
        <v>2.0859176535722157</v>
      </c>
      <c r="H75" s="82">
        <f>100*C75/[8]Cartera_Bruta!C76</f>
        <v>4.9133276453773407</v>
      </c>
      <c r="I75" s="82">
        <f>100*D75/[8]Cartera_Bruta!D76</f>
        <v>24.408496676073288</v>
      </c>
      <c r="J75" s="82">
        <f>100*E75/[8]Cartera_Bruta!F76</f>
        <v>5.9037388868164262</v>
      </c>
      <c r="K75" s="84">
        <f>+F75*100/[8]Cartera_Bruta!G76</f>
        <v>5.6863269600525364</v>
      </c>
      <c r="L75" s="82"/>
      <c r="M75" s="82"/>
      <c r="N75" s="82"/>
      <c r="O75" s="82"/>
      <c r="P75" s="82"/>
      <c r="Q75" s="83">
        <f>100*(B75+L75)/([8]Cartera_Bruta!B76+'G2.4B'!L75)</f>
        <v>2.0859176535722157</v>
      </c>
      <c r="R75" s="82">
        <f>100*(C75+M75)/([8]Cartera_Bruta!C76+'G2.4B'!M75)</f>
        <v>4.9133276453773407</v>
      </c>
      <c r="S75" s="82">
        <f>100*(D75+N75)/([8]Cartera_Bruta!D76+'G2.4B'!N75)</f>
        <v>24.408496676073288</v>
      </c>
      <c r="T75" s="82">
        <f>100*(E75+O75)/([8]Cartera_Bruta!F76+'G2.4B'!O75)</f>
        <v>5.9037388868164262</v>
      </c>
      <c r="U75" s="84">
        <f>100*(F75+P75)/([8]Cartera_Bruta!G76+'G2.4B'!P75)</f>
        <v>5.6863269600525364</v>
      </c>
      <c r="V75" s="48" t="str">
        <f t="shared" si="1"/>
        <v>T</v>
      </c>
    </row>
    <row r="76" spans="1:22" x14ac:dyDescent="0.3">
      <c r="A76" s="43">
        <v>38322</v>
      </c>
      <c r="B76" s="83">
        <f>[8]Cartera_Vencida!B76</f>
        <v>1.2388925281991701</v>
      </c>
      <c r="C76" s="82">
        <f>[8]Cartera_Vencida!C76</f>
        <v>0.88335673604047404</v>
      </c>
      <c r="D76" s="82">
        <f>[8]Cartera_Vencida!D76</f>
        <v>2.5384033237757704</v>
      </c>
      <c r="E76" s="82">
        <f>[8]Cartera_Vencida!E76</f>
        <v>7.4603752256213601E-2</v>
      </c>
      <c r="F76" s="84">
        <f>[8]Cartera_Vencida!F76</f>
        <v>4.7352563402716283</v>
      </c>
      <c r="G76" s="82">
        <f>100*B76/[8]Cartera_Bruta!B77</f>
        <v>1.80581587740246</v>
      </c>
      <c r="H76" s="82">
        <f>100*C76/[8]Cartera_Bruta!C77</f>
        <v>4.1267935289500857</v>
      </c>
      <c r="I76" s="82">
        <f>100*D76/[8]Cartera_Bruta!D77</f>
        <v>20.580236350830543</v>
      </c>
      <c r="J76" s="82">
        <f>100*E76/[8]Cartera_Bruta!F77</f>
        <v>5.4033892295929515</v>
      </c>
      <c r="K76" s="84">
        <f>+F76*100/[8]Cartera_Bruta!G77</f>
        <v>4.5651602686133881</v>
      </c>
      <c r="L76" s="82"/>
      <c r="M76" s="82"/>
      <c r="N76" s="82"/>
      <c r="O76" s="82"/>
      <c r="P76" s="82"/>
      <c r="Q76" s="83">
        <f>100*(B76+L76)/([8]Cartera_Bruta!B77+'G2.4B'!L76)</f>
        <v>1.80581587740246</v>
      </c>
      <c r="R76" s="82">
        <f>100*(C76+M76)/([8]Cartera_Bruta!C77+'G2.4B'!M76)</f>
        <v>4.1267935289500857</v>
      </c>
      <c r="S76" s="82">
        <f>100*(D76+N76)/([8]Cartera_Bruta!D77+'G2.4B'!N76)</f>
        <v>20.580236350830543</v>
      </c>
      <c r="T76" s="82">
        <f>100*(E76+O76)/([8]Cartera_Bruta!F77+'G2.4B'!O76)</f>
        <v>5.4033892295929515</v>
      </c>
      <c r="U76" s="84">
        <f>100*(F76+P76)/([8]Cartera_Bruta!G77+'G2.4B'!P76)</f>
        <v>4.5651602686133881</v>
      </c>
      <c r="V76" s="48" t="str">
        <f t="shared" si="1"/>
        <v>F</v>
      </c>
    </row>
    <row r="77" spans="1:22" x14ac:dyDescent="0.3">
      <c r="A77" s="43">
        <v>38353</v>
      </c>
      <c r="B77" s="83">
        <f>[8]Cartera_Vencida!B77</f>
        <v>1.3490977625132599</v>
      </c>
      <c r="C77" s="82">
        <f>[8]Cartera_Vencida!C77</f>
        <v>0.948922330141443</v>
      </c>
      <c r="D77" s="82">
        <f>[8]Cartera_Vencida!D77</f>
        <v>2.6355034171334801</v>
      </c>
      <c r="E77" s="82">
        <f>[8]Cartera_Vencida!E77</f>
        <v>8.3463991522451597E-2</v>
      </c>
      <c r="F77" s="84">
        <f>[8]Cartera_Vencida!F77</f>
        <v>5.0169875013106342</v>
      </c>
      <c r="G77" s="82">
        <f>100*B77/[8]Cartera_Bruta!B78</f>
        <v>1.9801725491896669</v>
      </c>
      <c r="H77" s="82">
        <f>100*C77/[8]Cartera_Bruta!C78</f>
        <v>4.3827093233591379</v>
      </c>
      <c r="I77" s="82">
        <f>100*D77/[8]Cartera_Bruta!D78</f>
        <v>21.347538042123947</v>
      </c>
      <c r="J77" s="82">
        <f>100*E77/[8]Cartera_Bruta!F78</f>
        <v>5.8567450385602342</v>
      </c>
      <c r="K77" s="84">
        <f>+F77*100/[8]Cartera_Bruta!G78</f>
        <v>4.8448683438205249</v>
      </c>
      <c r="L77" s="82"/>
      <c r="M77" s="82"/>
      <c r="N77" s="82"/>
      <c r="O77" s="82"/>
      <c r="P77" s="82"/>
      <c r="Q77" s="83">
        <f>100*(B77+L77)/([8]Cartera_Bruta!B78+'G2.4B'!L77)</f>
        <v>1.9801725491896669</v>
      </c>
      <c r="R77" s="82">
        <f>100*(C77+M77)/([8]Cartera_Bruta!C78+'G2.4B'!M77)</f>
        <v>4.3827093233591379</v>
      </c>
      <c r="S77" s="82">
        <f>100*(D77+N77)/([8]Cartera_Bruta!D78+'G2.4B'!N77)</f>
        <v>21.347538042123947</v>
      </c>
      <c r="T77" s="82">
        <f>100*(E77+O77)/([8]Cartera_Bruta!F78+'G2.4B'!O77)</f>
        <v>5.8567450385602342</v>
      </c>
      <c r="U77" s="84">
        <f>100*(F77+P77)/([8]Cartera_Bruta!G78+'G2.4B'!P77)</f>
        <v>4.8448683438205249</v>
      </c>
      <c r="V77" s="48" t="str">
        <f t="shared" si="1"/>
        <v>F</v>
      </c>
    </row>
    <row r="78" spans="1:22" x14ac:dyDescent="0.3">
      <c r="A78" s="43">
        <v>38384</v>
      </c>
      <c r="B78" s="83">
        <f>[8]Cartera_Vencida!B78</f>
        <v>1.3069160588764199</v>
      </c>
      <c r="C78" s="82">
        <f>[8]Cartera_Vencida!C78</f>
        <v>1.0371997015638099</v>
      </c>
      <c r="D78" s="82">
        <f>[8]Cartera_Vencida!D78</f>
        <v>2.5436103703506396</v>
      </c>
      <c r="E78" s="82">
        <f>[8]Cartera_Vencida!E78</f>
        <v>8.5913810093311394E-2</v>
      </c>
      <c r="F78" s="84">
        <f>[8]Cartera_Vencida!F78</f>
        <v>4.9736399408841807</v>
      </c>
      <c r="G78" s="82">
        <f>100*B78/[8]Cartera_Bruta!B79</f>
        <v>1.921000413448303</v>
      </c>
      <c r="H78" s="82">
        <f>100*C78/[8]Cartera_Bruta!C79</f>
        <v>4.739656438893725</v>
      </c>
      <c r="I78" s="82">
        <f>100*D78/[8]Cartera_Bruta!D79</f>
        <v>20.712005135867219</v>
      </c>
      <c r="J78" s="82">
        <f>100*E78/[8]Cartera_Bruta!F79</f>
        <v>5.8045497820624572</v>
      </c>
      <c r="K78" s="84">
        <f>+F78*100/[8]Cartera_Bruta!G79</f>
        <v>4.7972223524323034</v>
      </c>
      <c r="L78" s="82"/>
      <c r="M78" s="82"/>
      <c r="N78" s="82"/>
      <c r="O78" s="82"/>
      <c r="P78" s="82"/>
      <c r="Q78" s="83">
        <f>100*(B78+L78)/([8]Cartera_Bruta!B79+'G2.4B'!L78)</f>
        <v>1.921000413448303</v>
      </c>
      <c r="R78" s="82">
        <f>100*(C78+M78)/([8]Cartera_Bruta!C79+'G2.4B'!M78)</f>
        <v>4.739656438893725</v>
      </c>
      <c r="S78" s="82">
        <f>100*(D78+N78)/([8]Cartera_Bruta!D79+'G2.4B'!N78)</f>
        <v>20.712005135867219</v>
      </c>
      <c r="T78" s="82">
        <f>100*(E78+O78)/([8]Cartera_Bruta!F79+'G2.4B'!O78)</f>
        <v>5.8045497820624572</v>
      </c>
      <c r="U78" s="84">
        <f>100*(F78+P78)/([8]Cartera_Bruta!G79+'G2.4B'!P78)</f>
        <v>4.7972223524323034</v>
      </c>
      <c r="V78" s="48" t="str">
        <f t="shared" si="1"/>
        <v>F</v>
      </c>
    </row>
    <row r="79" spans="1:22" x14ac:dyDescent="0.3">
      <c r="A79" s="43">
        <v>38412</v>
      </c>
      <c r="B79" s="83">
        <f>[8]Cartera_Vencida!B79</f>
        <v>1.3512048689115901</v>
      </c>
      <c r="C79" s="82">
        <f>[8]Cartera_Vencida!C79</f>
        <v>1.0826576661010598</v>
      </c>
      <c r="D79" s="82">
        <f>[8]Cartera_Vencida!D79</f>
        <v>2.5837628914151103</v>
      </c>
      <c r="E79" s="82">
        <f>[8]Cartera_Vencida!E79</f>
        <v>8.4802119700274792E-2</v>
      </c>
      <c r="F79" s="84">
        <f>[8]Cartera_Vencida!F79</f>
        <v>5.102427546128034</v>
      </c>
      <c r="G79" s="82">
        <f>100*B79/[8]Cartera_Bruta!B80</f>
        <v>1.9533630024754887</v>
      </c>
      <c r="H79" s="82">
        <f>100*C79/[8]Cartera_Bruta!C80</f>
        <v>4.899655210966599</v>
      </c>
      <c r="I79" s="82">
        <f>100*D79/[8]Cartera_Bruta!D80</f>
        <v>21.339556860058696</v>
      </c>
      <c r="J79" s="82">
        <f>100*E79/[8]Cartera_Bruta!F80</f>
        <v>5.5648010796689782</v>
      </c>
      <c r="K79" s="84">
        <f>+F79*100/[8]Cartera_Bruta!G80</f>
        <v>4.8640117963545419</v>
      </c>
      <c r="L79" s="82"/>
      <c r="M79" s="82"/>
      <c r="N79" s="82"/>
      <c r="O79" s="82"/>
      <c r="P79" s="82"/>
      <c r="Q79" s="83">
        <f>100*(B79+L79)/([8]Cartera_Bruta!B80+'G2.4B'!L79)</f>
        <v>1.9533630024754887</v>
      </c>
      <c r="R79" s="82">
        <f>100*(C79+M79)/([8]Cartera_Bruta!C80+'G2.4B'!M79)</f>
        <v>4.899655210966599</v>
      </c>
      <c r="S79" s="82">
        <f>100*(D79+N79)/([8]Cartera_Bruta!D80+'G2.4B'!N79)</f>
        <v>21.339556860058696</v>
      </c>
      <c r="T79" s="82">
        <f>100*(E79+O79)/([8]Cartera_Bruta!F80+'G2.4B'!O79)</f>
        <v>5.5648010796689782</v>
      </c>
      <c r="U79" s="84">
        <f>100*(F79+P79)/([8]Cartera_Bruta!G80+'G2.4B'!P79)</f>
        <v>4.8640117963545419</v>
      </c>
      <c r="V79" s="48" t="str">
        <f t="shared" si="1"/>
        <v>F</v>
      </c>
    </row>
    <row r="80" spans="1:22" x14ac:dyDescent="0.3">
      <c r="A80" s="43">
        <v>38443</v>
      </c>
      <c r="B80" s="83">
        <f>[8]Cartera_Vencida!B80</f>
        <v>1.3556990920813001</v>
      </c>
      <c r="C80" s="82">
        <f>[8]Cartera_Vencida!C80</f>
        <v>1.0887576975969602</v>
      </c>
      <c r="D80" s="82">
        <f>[8]Cartera_Vencida!D80</f>
        <v>2.4698772514610501</v>
      </c>
      <c r="E80" s="82">
        <f>[8]Cartera_Vencida!E80</f>
        <v>8.5000341979231592E-2</v>
      </c>
      <c r="F80" s="84">
        <f>[8]Cartera_Vencida!F80</f>
        <v>4.9993343831185424</v>
      </c>
      <c r="G80" s="82">
        <f>100*B80/[8]Cartera_Bruta!B81</f>
        <v>1.9484262579978369</v>
      </c>
      <c r="H80" s="82">
        <f>100*C80/[8]Cartera_Bruta!C81</f>
        <v>4.7903491753950798</v>
      </c>
      <c r="I80" s="82">
        <f>100*D80/[8]Cartera_Bruta!D81</f>
        <v>20.314865274976246</v>
      </c>
      <c r="J80" s="82">
        <f>100*E80/[8]Cartera_Bruta!F81</f>
        <v>5.3962556518691116</v>
      </c>
      <c r="K80" s="84">
        <f>+F80*100/[8]Cartera_Bruta!G81</f>
        <v>4.7145525156558659</v>
      </c>
      <c r="L80" s="82"/>
      <c r="M80" s="82"/>
      <c r="N80" s="82"/>
      <c r="O80" s="82"/>
      <c r="P80" s="82"/>
      <c r="Q80" s="83">
        <f>100*(B80+L80)/([8]Cartera_Bruta!B81+'G2.4B'!L80)</f>
        <v>1.9484262579978369</v>
      </c>
      <c r="R80" s="82">
        <f>100*(C80+M80)/([8]Cartera_Bruta!C81+'G2.4B'!M80)</f>
        <v>4.7903491753950798</v>
      </c>
      <c r="S80" s="82">
        <f>100*(D80+N80)/([8]Cartera_Bruta!D81+'G2.4B'!N80)</f>
        <v>20.314865274976246</v>
      </c>
      <c r="T80" s="82">
        <f>100*(E80+O80)/([8]Cartera_Bruta!F81+'G2.4B'!O80)</f>
        <v>5.3962556518691116</v>
      </c>
      <c r="U80" s="84">
        <f>100*(F80+P80)/([8]Cartera_Bruta!G81+'G2.4B'!P80)</f>
        <v>4.7145525156558659</v>
      </c>
      <c r="V80" s="48" t="str">
        <f t="shared" si="1"/>
        <v>F</v>
      </c>
    </row>
    <row r="81" spans="1:22" x14ac:dyDescent="0.3">
      <c r="A81" s="43">
        <v>38473</v>
      </c>
      <c r="B81" s="83">
        <f>[8]Cartera_Vencida!B81</f>
        <v>1.3957943300704501</v>
      </c>
      <c r="C81" s="82">
        <f>[8]Cartera_Vencida!C81</f>
        <v>1.1193955624849501</v>
      </c>
      <c r="D81" s="82">
        <f>[8]Cartera_Vencida!D81</f>
        <v>2.5217147562625901</v>
      </c>
      <c r="E81" s="82">
        <f>[8]Cartera_Vencida!E81</f>
        <v>8.7146126278290298E-2</v>
      </c>
      <c r="F81" s="84">
        <f>[8]Cartera_Vencida!F81</f>
        <v>5.1240507750962809</v>
      </c>
      <c r="G81" s="82">
        <f>100*B81/[8]Cartera_Bruta!B82</f>
        <v>1.9885309070385389</v>
      </c>
      <c r="H81" s="82">
        <f>100*C81/[8]Cartera_Bruta!C82</f>
        <v>4.8251888754204098</v>
      </c>
      <c r="I81" s="82">
        <f>100*D81/[8]Cartera_Bruta!D82</f>
        <v>20.720764321753911</v>
      </c>
      <c r="J81" s="82">
        <f>100*E81/[8]Cartera_Bruta!F82</f>
        <v>5.346255625589305</v>
      </c>
      <c r="K81" s="84">
        <f>+F81*100/[8]Cartera_Bruta!G82</f>
        <v>4.7802875559826212</v>
      </c>
      <c r="L81" s="82"/>
      <c r="M81" s="82"/>
      <c r="N81" s="82"/>
      <c r="O81" s="82"/>
      <c r="P81" s="82"/>
      <c r="Q81" s="83">
        <f>100*(B81+L81)/([8]Cartera_Bruta!B82+'G2.4B'!L81)</f>
        <v>1.9885309070385389</v>
      </c>
      <c r="R81" s="82">
        <f>100*(C81+M81)/([8]Cartera_Bruta!C82+'G2.4B'!M81)</f>
        <v>4.8251888754204098</v>
      </c>
      <c r="S81" s="82">
        <f>100*(D81+N81)/([8]Cartera_Bruta!D82+'G2.4B'!N81)</f>
        <v>20.720764321753911</v>
      </c>
      <c r="T81" s="82">
        <f>100*(E81+O81)/([8]Cartera_Bruta!F82+'G2.4B'!O81)</f>
        <v>5.346255625589305</v>
      </c>
      <c r="U81" s="84">
        <f>100*(F81+P81)/([8]Cartera_Bruta!G82+'G2.4B'!P81)</f>
        <v>4.7802875559826212</v>
      </c>
      <c r="V81" s="48" t="str">
        <f t="shared" si="1"/>
        <v>F</v>
      </c>
    </row>
    <row r="82" spans="1:22" x14ac:dyDescent="0.3">
      <c r="A82" s="43">
        <v>38504</v>
      </c>
      <c r="B82" s="83">
        <f>[8]Cartera_Vencida!B82</f>
        <v>1.28594439723159</v>
      </c>
      <c r="C82" s="82">
        <f>[8]Cartera_Vencida!C82</f>
        <v>1.0335605969433099</v>
      </c>
      <c r="D82" s="82">
        <f>[8]Cartera_Vencida!D82</f>
        <v>2.3842423880372703</v>
      </c>
      <c r="E82" s="82">
        <f>[8]Cartera_Vencida!E82</f>
        <v>8.4288841000342507E-2</v>
      </c>
      <c r="F82" s="84">
        <f>[8]Cartera_Vencida!F82</f>
        <v>4.7880362232125124</v>
      </c>
      <c r="G82" s="82">
        <f>100*B82/[8]Cartera_Bruta!B83</f>
        <v>1.7988978036840391</v>
      </c>
      <c r="H82" s="82">
        <f>100*C82/[8]Cartera_Bruta!C83</f>
        <v>4.3579460129437519</v>
      </c>
      <c r="I82" s="82">
        <f>100*D82/[8]Cartera_Bruta!D83</f>
        <v>19.563880962870819</v>
      </c>
      <c r="J82" s="82">
        <f>100*E82/[8]Cartera_Bruta!F83</f>
        <v>4.9904964885761114</v>
      </c>
      <c r="K82" s="84">
        <f>+F82*100/[8]Cartera_Bruta!G83</f>
        <v>4.3895620342426982</v>
      </c>
      <c r="L82" s="82"/>
      <c r="M82" s="82"/>
      <c r="N82" s="82"/>
      <c r="O82" s="82"/>
      <c r="P82" s="82"/>
      <c r="Q82" s="83">
        <f>100*(B82+L82)/([8]Cartera_Bruta!B83+'G2.4B'!L82)</f>
        <v>1.7988978036840391</v>
      </c>
      <c r="R82" s="82">
        <f>100*(C82+M82)/([8]Cartera_Bruta!C83+'G2.4B'!M82)</f>
        <v>4.3579460129437519</v>
      </c>
      <c r="S82" s="82">
        <f>100*(D82+N82)/([8]Cartera_Bruta!D83+'G2.4B'!N82)</f>
        <v>19.563880962870819</v>
      </c>
      <c r="T82" s="82">
        <f>100*(E82+O82)/([8]Cartera_Bruta!F83+'G2.4B'!O82)</f>
        <v>4.9904964885761114</v>
      </c>
      <c r="U82" s="84">
        <f>100*(F82+P82)/([8]Cartera_Bruta!G83+'G2.4B'!P82)</f>
        <v>4.3895620342426982</v>
      </c>
      <c r="V82" s="48" t="str">
        <f t="shared" si="1"/>
        <v>F</v>
      </c>
    </row>
    <row r="83" spans="1:22" x14ac:dyDescent="0.3">
      <c r="A83" s="43">
        <v>38534</v>
      </c>
      <c r="B83" s="83">
        <f>[8]Cartera_Vencida!B83</f>
        <v>1.4543309550483898</v>
      </c>
      <c r="C83" s="82">
        <f>[8]Cartera_Vencida!C83</f>
        <v>1.08739943666413</v>
      </c>
      <c r="D83" s="82">
        <f>[8]Cartera_Vencida!D83</f>
        <v>2.3270911736414099</v>
      </c>
      <c r="E83" s="82">
        <f>[8]Cartera_Vencida!E83</f>
        <v>8.8419415397027107E-2</v>
      </c>
      <c r="F83" s="84">
        <f>[8]Cartera_Vencida!F83</f>
        <v>4.9572409807509565</v>
      </c>
      <c r="G83" s="82">
        <f>100*B83/[8]Cartera_Bruta!B84</f>
        <v>2.032957705266436</v>
      </c>
      <c r="H83" s="82">
        <f>100*C83/[8]Cartera_Bruta!C84</f>
        <v>4.4574672699840088</v>
      </c>
      <c r="I83" s="82">
        <f>100*D83/[8]Cartera_Bruta!D84</f>
        <v>19.047138197929961</v>
      </c>
      <c r="J83" s="82">
        <f>100*E83/[8]Cartera_Bruta!F84</f>
        <v>5.0889173929470193</v>
      </c>
      <c r="K83" s="84">
        <f>+F83*100/[8]Cartera_Bruta!G84</f>
        <v>4.5111873134473681</v>
      </c>
      <c r="L83" s="82"/>
      <c r="M83" s="82"/>
      <c r="N83" s="82"/>
      <c r="O83" s="82"/>
      <c r="P83" s="82"/>
      <c r="Q83" s="83">
        <f>100*(B83+L83)/([8]Cartera_Bruta!B84+'G2.4B'!L83)</f>
        <v>2.032957705266436</v>
      </c>
      <c r="R83" s="82">
        <f>100*(C83+M83)/([8]Cartera_Bruta!C84+'G2.4B'!M83)</f>
        <v>4.4574672699840088</v>
      </c>
      <c r="S83" s="82">
        <f>100*(D83+N83)/([8]Cartera_Bruta!D84+'G2.4B'!N83)</f>
        <v>19.047138197929961</v>
      </c>
      <c r="T83" s="82">
        <f>100*(E83+O83)/([8]Cartera_Bruta!F84+'G2.4B'!O83)</f>
        <v>5.0889173929470193</v>
      </c>
      <c r="U83" s="84">
        <f>100*(F83+P83)/([8]Cartera_Bruta!G84+'G2.4B'!P83)</f>
        <v>4.5111873134473681</v>
      </c>
      <c r="V83" s="48" t="str">
        <f t="shared" si="1"/>
        <v>F</v>
      </c>
    </row>
    <row r="84" spans="1:22" x14ac:dyDescent="0.3">
      <c r="A84" s="43">
        <v>38565</v>
      </c>
      <c r="B84" s="83">
        <f>[8]Cartera_Vencida!B84</f>
        <v>1.41416737439008</v>
      </c>
      <c r="C84" s="82">
        <f>[8]Cartera_Vencida!C84</f>
        <v>1.0804655625892798</v>
      </c>
      <c r="D84" s="82">
        <f>[8]Cartera_Vencida!D84</f>
        <v>2.3289521211876001</v>
      </c>
      <c r="E84" s="82">
        <f>[8]Cartera_Vencida!E84</f>
        <v>8.9391461577768588E-2</v>
      </c>
      <c r="F84" s="84">
        <f>[8]Cartera_Vencida!F84</f>
        <v>4.9129765197447295</v>
      </c>
      <c r="G84" s="82">
        <f>100*B84/[8]Cartera_Bruta!B85</f>
        <v>1.9935811390595639</v>
      </c>
      <c r="H84" s="82">
        <f>100*C84/[8]Cartera_Bruta!C85</f>
        <v>4.3068260590602794</v>
      </c>
      <c r="I84" s="82">
        <f>100*D84/[8]Cartera_Bruta!D85</f>
        <v>19.018185240933786</v>
      </c>
      <c r="J84" s="82">
        <f>100*E84/[8]Cartera_Bruta!F85</f>
        <v>4.987350341189666</v>
      </c>
      <c r="K84" s="84">
        <f>+F84*100/[8]Cartera_Bruta!G85</f>
        <v>4.463842543390995</v>
      </c>
      <c r="L84" s="82"/>
      <c r="M84" s="82"/>
      <c r="N84" s="82"/>
      <c r="O84" s="82"/>
      <c r="P84" s="82"/>
      <c r="Q84" s="83">
        <f>100*(B84+L84)/([8]Cartera_Bruta!B85+'G2.4B'!L84)</f>
        <v>1.9935811390595639</v>
      </c>
      <c r="R84" s="82">
        <f>100*(C84+M84)/([8]Cartera_Bruta!C85+'G2.4B'!M84)</f>
        <v>4.3068260590602794</v>
      </c>
      <c r="S84" s="82">
        <f>100*(D84+N84)/([8]Cartera_Bruta!D85+'G2.4B'!N84)</f>
        <v>19.018185240933786</v>
      </c>
      <c r="T84" s="82">
        <f>100*(E84+O84)/([8]Cartera_Bruta!F85+'G2.4B'!O84)</f>
        <v>4.987350341189666</v>
      </c>
      <c r="U84" s="84">
        <f>100*(F84+P84)/([8]Cartera_Bruta!G85+'G2.4B'!P84)</f>
        <v>4.463842543390995</v>
      </c>
      <c r="V84" s="48" t="str">
        <f t="shared" si="1"/>
        <v>F</v>
      </c>
    </row>
    <row r="85" spans="1:22" x14ac:dyDescent="0.3">
      <c r="A85" s="43">
        <v>38596</v>
      </c>
      <c r="B85" s="83">
        <f>[8]Cartera_Vencida!B85</f>
        <v>1.3893227448018799</v>
      </c>
      <c r="C85" s="82">
        <f>[8]Cartera_Vencida!C85</f>
        <v>1.0851993293863</v>
      </c>
      <c r="D85" s="82">
        <f>[8]Cartera_Vencida!D85</f>
        <v>2.24135405176931</v>
      </c>
      <c r="E85" s="82">
        <f>[8]Cartera_Vencida!E85</f>
        <v>9.1674508899806897E-2</v>
      </c>
      <c r="F85" s="84">
        <f>[8]Cartera_Vencida!F85</f>
        <v>4.8075506348572965</v>
      </c>
      <c r="G85" s="82">
        <f>100*B85/[8]Cartera_Bruta!B86</f>
        <v>1.9365305283354746</v>
      </c>
      <c r="H85" s="82">
        <f>100*C85/[8]Cartera_Bruta!C86</f>
        <v>4.1929625051805441</v>
      </c>
      <c r="I85" s="82">
        <f>100*D85/[8]Cartera_Bruta!D86</f>
        <v>19.432032864057032</v>
      </c>
      <c r="J85" s="82">
        <f>100*E85/[8]Cartera_Bruta!F86</f>
        <v>4.9591006380381701</v>
      </c>
      <c r="K85" s="84">
        <f>+F85*100/[8]Cartera_Bruta!G86</f>
        <v>4.330843345465289</v>
      </c>
      <c r="L85" s="82"/>
      <c r="M85" s="82"/>
      <c r="N85" s="82"/>
      <c r="O85" s="82"/>
      <c r="P85" s="82"/>
      <c r="Q85" s="83">
        <f>100*(B85+L85)/([8]Cartera_Bruta!B86+'G2.4B'!L85)</f>
        <v>1.9365305283354746</v>
      </c>
      <c r="R85" s="82">
        <f>100*(C85+M85)/([8]Cartera_Bruta!C86+'G2.4B'!M85)</f>
        <v>4.1929625051805441</v>
      </c>
      <c r="S85" s="82">
        <f>100*(D85+N85)/([8]Cartera_Bruta!D86+'G2.4B'!N85)</f>
        <v>19.432032864057032</v>
      </c>
      <c r="T85" s="82">
        <f>100*(E85+O85)/([8]Cartera_Bruta!F86+'G2.4B'!O85)</f>
        <v>4.9591006380381701</v>
      </c>
      <c r="U85" s="84">
        <f>100*(F85+P85)/([8]Cartera_Bruta!G86+'G2.4B'!P85)</f>
        <v>4.330843345465289</v>
      </c>
      <c r="V85" s="48" t="str">
        <f t="shared" si="1"/>
        <v>F</v>
      </c>
    </row>
    <row r="86" spans="1:22" x14ac:dyDescent="0.3">
      <c r="A86" s="43">
        <v>38626</v>
      </c>
      <c r="B86" s="83">
        <f>[8]Cartera_Vencida!B86</f>
        <v>1.4183255289926699</v>
      </c>
      <c r="C86" s="82">
        <f>[8]Cartera_Vencida!C86</f>
        <v>1.2083440997444799</v>
      </c>
      <c r="D86" s="82">
        <f>[8]Cartera_Vencida!D86</f>
        <v>2.27073981686513</v>
      </c>
      <c r="E86" s="82">
        <f>[8]Cartera_Vencida!E86</f>
        <v>8.8578901032059398E-2</v>
      </c>
      <c r="F86" s="84">
        <f>[8]Cartera_Vencida!F86</f>
        <v>4.9859883466343398</v>
      </c>
      <c r="G86" s="82">
        <f>100*B86/[8]Cartera_Bruta!B87</f>
        <v>1.9528614028498121</v>
      </c>
      <c r="H86" s="82">
        <f>100*C86/[8]Cartera_Bruta!C87</f>
        <v>4.5479795251180546</v>
      </c>
      <c r="I86" s="82">
        <f>100*D86/[8]Cartera_Bruta!D87</f>
        <v>19.624595596378676</v>
      </c>
      <c r="J86" s="82">
        <f>100*E86/[8]Cartera_Bruta!F87</f>
        <v>4.7870295675627741</v>
      </c>
      <c r="K86" s="84">
        <f>+F86*100/[8]Cartera_Bruta!G87</f>
        <v>4.4273394995485305</v>
      </c>
      <c r="L86" s="82"/>
      <c r="M86" s="82"/>
      <c r="N86" s="82"/>
      <c r="O86" s="82"/>
      <c r="P86" s="82"/>
      <c r="Q86" s="83">
        <f>100*(B86+L86)/([8]Cartera_Bruta!B87+'G2.4B'!L86)</f>
        <v>1.9528614028498121</v>
      </c>
      <c r="R86" s="82">
        <f>100*(C86+M86)/([8]Cartera_Bruta!C87+'G2.4B'!M86)</f>
        <v>4.5479795251180546</v>
      </c>
      <c r="S86" s="82">
        <f>100*(D86+N86)/([8]Cartera_Bruta!D87+'G2.4B'!N86)</f>
        <v>19.624595596378676</v>
      </c>
      <c r="T86" s="82">
        <f>100*(E86+O86)/([8]Cartera_Bruta!F87+'G2.4B'!O86)</f>
        <v>4.7870295675627741</v>
      </c>
      <c r="U86" s="84">
        <f>100*(F86+P86)/([8]Cartera_Bruta!G87+'G2.4B'!P86)</f>
        <v>4.4273394995485305</v>
      </c>
      <c r="V86" s="48" t="str">
        <f t="shared" si="1"/>
        <v>F</v>
      </c>
    </row>
    <row r="87" spans="1:22" x14ac:dyDescent="0.3">
      <c r="A87" s="43">
        <v>38657</v>
      </c>
      <c r="B87" s="83">
        <f>[8]Cartera_Vencida!B87</f>
        <v>1.3878969751074099</v>
      </c>
      <c r="C87" s="82">
        <f>[8]Cartera_Vencida!C87</f>
        <v>1.2051121792130699</v>
      </c>
      <c r="D87" s="82">
        <f>[8]Cartera_Vencida!D87</f>
        <v>2.25233089623875</v>
      </c>
      <c r="E87" s="82">
        <f>[8]Cartera_Vencida!E87</f>
        <v>9.1317876967851805E-2</v>
      </c>
      <c r="F87" s="84">
        <f>[8]Cartera_Vencida!F87</f>
        <v>4.9366579275270821</v>
      </c>
      <c r="G87" s="82">
        <f>100*B87/[8]Cartera_Bruta!B88</f>
        <v>1.8922862901021793</v>
      </c>
      <c r="H87" s="82">
        <f>100*C87/[8]Cartera_Bruta!C88</f>
        <v>4.39091994869933</v>
      </c>
      <c r="I87" s="82">
        <f>100*D87/[8]Cartera_Bruta!D88</f>
        <v>19.403101141020642</v>
      </c>
      <c r="J87" s="82">
        <f>100*E87/[8]Cartera_Bruta!F88</f>
        <v>4.685767440586794</v>
      </c>
      <c r="K87" s="84">
        <f>+F87*100/[8]Cartera_Bruta!G88</f>
        <v>4.3172431025740599</v>
      </c>
      <c r="L87" s="82"/>
      <c r="M87" s="82"/>
      <c r="N87" s="82"/>
      <c r="O87" s="82"/>
      <c r="P87" s="82"/>
      <c r="Q87" s="83">
        <f>100*(B87+L87)/([8]Cartera_Bruta!B88+'G2.4B'!L87)</f>
        <v>1.8922862901021793</v>
      </c>
      <c r="R87" s="82">
        <f>100*(C87+M87)/([8]Cartera_Bruta!C88+'G2.4B'!M87)</f>
        <v>4.39091994869933</v>
      </c>
      <c r="S87" s="82">
        <f>100*(D87+N87)/([8]Cartera_Bruta!D88+'G2.4B'!N87)</f>
        <v>19.403101141020642</v>
      </c>
      <c r="T87" s="82">
        <f>100*(E87+O87)/([8]Cartera_Bruta!F88+'G2.4B'!O87)</f>
        <v>4.685767440586794</v>
      </c>
      <c r="U87" s="84">
        <f>100*(F87+P87)/([8]Cartera_Bruta!G88+'G2.4B'!P87)</f>
        <v>4.3172431025740599</v>
      </c>
      <c r="V87" s="48" t="str">
        <f t="shared" si="1"/>
        <v>F</v>
      </c>
    </row>
    <row r="88" spans="1:22" x14ac:dyDescent="0.3">
      <c r="A88" s="43">
        <v>38687</v>
      </c>
      <c r="B88" s="83">
        <f>[8]Cartera_Vencida!B88</f>
        <v>1.20747557626973</v>
      </c>
      <c r="C88" s="82">
        <f>[8]Cartera_Vencida!C88</f>
        <v>1.09704973768625</v>
      </c>
      <c r="D88" s="82">
        <f>[8]Cartera_Vencida!D88</f>
        <v>1.77850584732182</v>
      </c>
      <c r="E88" s="82">
        <f>[8]Cartera_Vencida!E88</f>
        <v>9.0194158170073702E-2</v>
      </c>
      <c r="F88" s="84">
        <f>[8]Cartera_Vencida!F88</f>
        <v>4.1732253194478739</v>
      </c>
      <c r="G88" s="82">
        <f>100*B88/[8]Cartera_Bruta!B89</f>
        <v>1.6141557741652768</v>
      </c>
      <c r="H88" s="82">
        <f>100*C88/[8]Cartera_Bruta!C89</f>
        <v>3.8552466149003322</v>
      </c>
      <c r="I88" s="82">
        <f>100*D88/[8]Cartera_Bruta!D89</f>
        <v>15.415221184435849</v>
      </c>
      <c r="J88" s="82">
        <f>100*E88/[8]Cartera_Bruta!F89</f>
        <v>4.567581897260478</v>
      </c>
      <c r="K88" s="84">
        <f>+F88*100/[8]Cartera_Bruta!G89</f>
        <v>3.5737805362574737</v>
      </c>
      <c r="L88" s="82"/>
      <c r="M88" s="82"/>
      <c r="N88" s="82"/>
      <c r="O88" s="82"/>
      <c r="P88" s="82"/>
      <c r="Q88" s="83">
        <f>100*(B88+L88)/([8]Cartera_Bruta!B89+'G2.4B'!L88)</f>
        <v>1.6141557741652768</v>
      </c>
      <c r="R88" s="82">
        <f>100*(C88+M88)/([8]Cartera_Bruta!C89+'G2.4B'!M88)</f>
        <v>3.8552466149003322</v>
      </c>
      <c r="S88" s="82">
        <f>100*(D88+N88)/([8]Cartera_Bruta!D89+'G2.4B'!N88)</f>
        <v>15.415221184435849</v>
      </c>
      <c r="T88" s="82">
        <f>100*(E88+O88)/([8]Cartera_Bruta!F89+'G2.4B'!O88)</f>
        <v>4.567581897260478</v>
      </c>
      <c r="U88" s="84">
        <f>100*(F88+P88)/([8]Cartera_Bruta!G89+'G2.4B'!P88)</f>
        <v>3.5737805362574737</v>
      </c>
      <c r="V88" s="48" t="str">
        <f t="shared" si="1"/>
        <v>F</v>
      </c>
    </row>
    <row r="89" spans="1:22" x14ac:dyDescent="0.3">
      <c r="A89" s="43">
        <v>38718</v>
      </c>
      <c r="B89" s="83">
        <f>[8]Cartera_Vencida!B89</f>
        <v>1.40307445020202</v>
      </c>
      <c r="C89" s="82">
        <f>[8]Cartera_Vencida!C89</f>
        <v>1.2220791453609701</v>
      </c>
      <c r="D89" s="82">
        <f>[8]Cartera_Vencida!D89</f>
        <v>1.8812415521260699</v>
      </c>
      <c r="E89" s="82">
        <f>[8]Cartera_Vencida!E89</f>
        <v>9.7307842265069208E-2</v>
      </c>
      <c r="F89" s="84">
        <f>[8]Cartera_Vencida!F89</f>
        <v>4.6037029899541295</v>
      </c>
      <c r="G89" s="82">
        <f>100*B89/[8]Cartera_Bruta!B90</f>
        <v>1.8561162149152277</v>
      </c>
      <c r="H89" s="82">
        <f>100*C89/[8]Cartera_Bruta!C90</f>
        <v>4.2128455608015107</v>
      </c>
      <c r="I89" s="82">
        <f>100*D89/[8]Cartera_Bruta!D90</f>
        <v>16.284758805144904</v>
      </c>
      <c r="J89" s="82">
        <f>100*E89/[8]Cartera_Bruta!F90</f>
        <v>4.881555856393561</v>
      </c>
      <c r="K89" s="84">
        <f>+F89*100/[8]Cartera_Bruta!G90</f>
        <v>3.8966255834872774</v>
      </c>
      <c r="L89" s="82"/>
      <c r="M89" s="82"/>
      <c r="N89" s="82"/>
      <c r="O89" s="82"/>
      <c r="P89" s="82"/>
      <c r="Q89" s="83">
        <f>100*(B89+L89)/([8]Cartera_Bruta!B90+'G2.4B'!L89)</f>
        <v>1.8561162149152277</v>
      </c>
      <c r="R89" s="82">
        <f>100*(C89+M89)/([8]Cartera_Bruta!C90+'G2.4B'!M89)</f>
        <v>4.2128455608015107</v>
      </c>
      <c r="S89" s="82">
        <f>100*(D89+N89)/([8]Cartera_Bruta!D90+'G2.4B'!N89)</f>
        <v>16.284758805144904</v>
      </c>
      <c r="T89" s="82">
        <f>100*(E89+O89)/([8]Cartera_Bruta!F90+'G2.4B'!O89)</f>
        <v>4.881555856393561</v>
      </c>
      <c r="U89" s="84">
        <f>100*(F89+P89)/([8]Cartera_Bruta!G90+'G2.4B'!P89)</f>
        <v>3.8966255834872774</v>
      </c>
      <c r="V89" s="48" t="str">
        <f t="shared" si="1"/>
        <v>F</v>
      </c>
    </row>
    <row r="90" spans="1:22" x14ac:dyDescent="0.3">
      <c r="A90" s="43">
        <v>38749</v>
      </c>
      <c r="B90" s="83">
        <f>[8]Cartera_Vencida!B90</f>
        <v>1.4496931064151102</v>
      </c>
      <c r="C90" s="82">
        <f>[8]Cartera_Vencida!C90</f>
        <v>1.2954223408655601</v>
      </c>
      <c r="D90" s="82">
        <f>[8]Cartera_Vencida!D90</f>
        <v>1.80922720966405</v>
      </c>
      <c r="E90" s="82">
        <f>[8]Cartera_Vencida!E90</f>
        <v>0.10762116142825801</v>
      </c>
      <c r="F90" s="84">
        <f>[8]Cartera_Vencida!F90</f>
        <v>4.6619638183729792</v>
      </c>
      <c r="G90" s="82">
        <f>100*B90/[8]Cartera_Bruta!B91</f>
        <v>1.8904855135201766</v>
      </c>
      <c r="H90" s="82">
        <f>100*C90/[8]Cartera_Bruta!C91</f>
        <v>4.3580302760680256</v>
      </c>
      <c r="I90" s="82">
        <f>100*D90/[8]Cartera_Bruta!D91</f>
        <v>15.620276932457319</v>
      </c>
      <c r="J90" s="82">
        <f>100*E90/[8]Cartera_Bruta!F91</f>
        <v>5.2858076979375248</v>
      </c>
      <c r="K90" s="84">
        <f>+F90*100/[8]Cartera_Bruta!G91</f>
        <v>3.8840899133554756</v>
      </c>
      <c r="L90" s="82"/>
      <c r="M90" s="82"/>
      <c r="N90" s="82"/>
      <c r="O90" s="82"/>
      <c r="P90" s="82"/>
      <c r="Q90" s="83">
        <f>100*(B90+L90)/([8]Cartera_Bruta!B91+'G2.4B'!L90)</f>
        <v>1.8904855135201766</v>
      </c>
      <c r="R90" s="82">
        <f>100*(C90+M90)/([8]Cartera_Bruta!C91+'G2.4B'!M90)</f>
        <v>4.3580302760680256</v>
      </c>
      <c r="S90" s="82">
        <f>100*(D90+N90)/([8]Cartera_Bruta!D91+'G2.4B'!N90)</f>
        <v>15.620276932457319</v>
      </c>
      <c r="T90" s="82">
        <f>100*(E90+O90)/([8]Cartera_Bruta!F91+'G2.4B'!O90)</f>
        <v>5.2858076979375248</v>
      </c>
      <c r="U90" s="84">
        <f>100*(F90+P90)/([8]Cartera_Bruta!G91+'G2.4B'!P90)</f>
        <v>3.8840899133554756</v>
      </c>
      <c r="V90" s="48" t="str">
        <f t="shared" si="1"/>
        <v>F</v>
      </c>
    </row>
    <row r="91" spans="1:22" x14ac:dyDescent="0.3">
      <c r="A91" s="43">
        <v>38777</v>
      </c>
      <c r="B91" s="83">
        <f>[8]Cartera_Vencida!B91</f>
        <v>1.4894304839109</v>
      </c>
      <c r="C91" s="82">
        <f>[8]Cartera_Vencida!C91</f>
        <v>1.35670736151813</v>
      </c>
      <c r="D91" s="82">
        <f>[8]Cartera_Vencida!D91</f>
        <v>1.83897621381651</v>
      </c>
      <c r="E91" s="82">
        <f>[8]Cartera_Vencida!E91</f>
        <v>0.11314119772209699</v>
      </c>
      <c r="F91" s="84">
        <f>[8]Cartera_Vencida!F91</f>
        <v>4.7982552569676375</v>
      </c>
      <c r="G91" s="82">
        <f>100*B91/[8]Cartera_Bruta!B92</f>
        <v>1.9622128720481846</v>
      </c>
      <c r="H91" s="82">
        <f>100*C91/[8]Cartera_Bruta!C92</f>
        <v>4.4344202384255835</v>
      </c>
      <c r="I91" s="82">
        <f>100*D91/[8]Cartera_Bruta!D92</f>
        <v>15.762680538997964</v>
      </c>
      <c r="J91" s="82">
        <f>100*E91/[8]Cartera_Bruta!F92</f>
        <v>5.4044471849583342</v>
      </c>
      <c r="K91" s="84">
        <f>+F91*100/[8]Cartera_Bruta!G92</f>
        <v>3.9898779351710441</v>
      </c>
      <c r="L91" s="82"/>
      <c r="M91" s="82"/>
      <c r="N91" s="82"/>
      <c r="O91" s="82"/>
      <c r="P91" s="82"/>
      <c r="Q91" s="83">
        <f>100*(B91+L91)/([8]Cartera_Bruta!B92+'G2.4B'!L91)</f>
        <v>1.9622128720481846</v>
      </c>
      <c r="R91" s="82">
        <f>100*(C91+M91)/([8]Cartera_Bruta!C92+'G2.4B'!M91)</f>
        <v>4.4344202384255835</v>
      </c>
      <c r="S91" s="82">
        <f>100*(D91+N91)/([8]Cartera_Bruta!D92+'G2.4B'!N91)</f>
        <v>15.762680538997964</v>
      </c>
      <c r="T91" s="82">
        <f>100*(E91+O91)/([8]Cartera_Bruta!F92+'G2.4B'!O91)</f>
        <v>5.4044471849583342</v>
      </c>
      <c r="U91" s="84">
        <f>100*(F91+P91)/([8]Cartera_Bruta!G92+'G2.4B'!P91)</f>
        <v>3.9898779351710441</v>
      </c>
      <c r="V91" s="48" t="str">
        <f t="shared" si="1"/>
        <v>F</v>
      </c>
    </row>
    <row r="92" spans="1:22" x14ac:dyDescent="0.3">
      <c r="A92" s="43">
        <v>38808</v>
      </c>
      <c r="B92" s="83">
        <f>[8]Cartera_Vencida!B92</f>
        <v>1.6572274037199</v>
      </c>
      <c r="C92" s="82">
        <f>[8]Cartera_Vencida!C92</f>
        <v>1.4478301979583399</v>
      </c>
      <c r="D92" s="82">
        <f>[8]Cartera_Vencida!D92</f>
        <v>1.7854722553813001</v>
      </c>
      <c r="E92" s="82">
        <f>[8]Cartera_Vencida!E92</f>
        <v>0.118262563136722</v>
      </c>
      <c r="F92" s="84">
        <f>[8]Cartera_Vencida!F92</f>
        <v>5.0087924201962624</v>
      </c>
      <c r="G92" s="82">
        <f>100*B92/[8]Cartera_Bruta!B93</f>
        <v>2.1133595919509802</v>
      </c>
      <c r="H92" s="82">
        <f>100*C92/[8]Cartera_Bruta!C93</f>
        <v>4.5846231067043508</v>
      </c>
      <c r="I92" s="82">
        <f>100*D92/[8]Cartera_Bruta!D93</f>
        <v>14.987747528265059</v>
      </c>
      <c r="J92" s="82">
        <f>100*E92/[8]Cartera_Bruta!F93</f>
        <v>5.486579649555356</v>
      </c>
      <c r="K92" s="84">
        <f>+F92*100/[8]Cartera_Bruta!G93</f>
        <v>4.0372249838479073</v>
      </c>
      <c r="L92" s="82"/>
      <c r="M92" s="82"/>
      <c r="N92" s="82"/>
      <c r="O92" s="82"/>
      <c r="P92" s="82"/>
      <c r="Q92" s="83">
        <f>100*(B92+L92)/([8]Cartera_Bruta!B93+'G2.4B'!L92)</f>
        <v>2.1133595919509802</v>
      </c>
      <c r="R92" s="82">
        <f>100*(C92+M92)/([8]Cartera_Bruta!C93+'G2.4B'!M92)</f>
        <v>4.5846231067043508</v>
      </c>
      <c r="S92" s="82">
        <f>100*(D92+N92)/([8]Cartera_Bruta!D93+'G2.4B'!N92)</f>
        <v>14.987747528265059</v>
      </c>
      <c r="T92" s="82">
        <f>100*(E92+O92)/([8]Cartera_Bruta!F93+'G2.4B'!O92)</f>
        <v>5.486579649555356</v>
      </c>
      <c r="U92" s="84">
        <f>100*(F92+P92)/([8]Cartera_Bruta!G93+'G2.4B'!P92)</f>
        <v>4.0372249838479073</v>
      </c>
      <c r="V92" s="48" t="str">
        <f t="shared" si="1"/>
        <v>F</v>
      </c>
    </row>
    <row r="93" spans="1:22" x14ac:dyDescent="0.3">
      <c r="A93" s="43">
        <v>38838</v>
      </c>
      <c r="B93" s="83">
        <f>[8]Cartera_Vencida!B93</f>
        <v>1.57998306598784</v>
      </c>
      <c r="C93" s="82">
        <f>[8]Cartera_Vencida!C93</f>
        <v>2.0513355460985099</v>
      </c>
      <c r="D93" s="82">
        <f>[8]Cartera_Vencida!D93</f>
        <v>1.8066042352076599</v>
      </c>
      <c r="E93" s="82">
        <f>[8]Cartera_Vencida!E93</f>
        <v>0.119053589706883</v>
      </c>
      <c r="F93" s="84">
        <f>[8]Cartera_Vencida!F93</f>
        <v>5.5569764370008929</v>
      </c>
      <c r="G93" s="82">
        <f>100*B93/[8]Cartera_Bruta!B94</f>
        <v>1.9523997296620632</v>
      </c>
      <c r="H93" s="82">
        <f>100*C93/[8]Cartera_Bruta!C94</f>
        <v>6.2658599369397816</v>
      </c>
      <c r="I93" s="82">
        <f>100*D93/[8]Cartera_Bruta!D94</f>
        <v>14.614373888688272</v>
      </c>
      <c r="J93" s="82">
        <f>100*E93/[8]Cartera_Bruta!F94</f>
        <v>5.5852630038325426</v>
      </c>
      <c r="K93" s="84">
        <f>+F93*100/[8]Cartera_Bruta!G94</f>
        <v>4.336073657380167</v>
      </c>
      <c r="L93" s="82"/>
      <c r="M93" s="82"/>
      <c r="N93" s="82"/>
      <c r="O93" s="82"/>
      <c r="P93" s="82"/>
      <c r="Q93" s="83">
        <f>100*(B93+L93)/([8]Cartera_Bruta!B94+'G2.4B'!L93)</f>
        <v>1.9523997296620632</v>
      </c>
      <c r="R93" s="82">
        <f>100*(C93+M93)/([8]Cartera_Bruta!C94+'G2.4B'!M93)</f>
        <v>6.2658599369397816</v>
      </c>
      <c r="S93" s="82">
        <f>100*(D93+N93)/([8]Cartera_Bruta!D94+'G2.4B'!N93)</f>
        <v>14.614373888688272</v>
      </c>
      <c r="T93" s="82">
        <f>100*(E93+O93)/([8]Cartera_Bruta!F94+'G2.4B'!O93)</f>
        <v>5.5852630038325426</v>
      </c>
      <c r="U93" s="84">
        <f>100*(F93+P93)/([8]Cartera_Bruta!G94+'G2.4B'!P93)</f>
        <v>4.336073657380167</v>
      </c>
      <c r="V93" s="48" t="str">
        <f t="shared" si="1"/>
        <v>F</v>
      </c>
    </row>
    <row r="94" spans="1:22" x14ac:dyDescent="0.3">
      <c r="A94" s="43">
        <v>38869</v>
      </c>
      <c r="B94" s="83">
        <f>[8]Cartera_Vencida!B94</f>
        <v>1.4855404104079999</v>
      </c>
      <c r="C94" s="82">
        <f>[8]Cartera_Vencida!C94</f>
        <v>1.5336351466734399</v>
      </c>
      <c r="D94" s="82">
        <f>[8]Cartera_Vencida!D94</f>
        <v>1.6946605451160399</v>
      </c>
      <c r="E94" s="82">
        <f>[8]Cartera_Vencida!E94</f>
        <v>0.12094778123988201</v>
      </c>
      <c r="F94" s="84">
        <f>[8]Cartera_Vencida!F94</f>
        <v>4.8347838834373613</v>
      </c>
      <c r="G94" s="82">
        <f>100*B94/[8]Cartera_Bruta!B95</f>
        <v>1.7769792141876193</v>
      </c>
      <c r="H94" s="82">
        <f>100*C94/[8]Cartera_Bruta!C95</f>
        <v>4.5580995542802585</v>
      </c>
      <c r="I94" s="82">
        <f>100*D94/[8]Cartera_Bruta!D95</f>
        <v>13.33273550051555</v>
      </c>
      <c r="J94" s="82">
        <f>100*E94/[8]Cartera_Bruta!F95</f>
        <v>5.450730469219601</v>
      </c>
      <c r="K94" s="84">
        <f>+F94*100/[8]Cartera_Bruta!G95</f>
        <v>3.657864944013419</v>
      </c>
      <c r="L94" s="82"/>
      <c r="M94" s="82"/>
      <c r="N94" s="82"/>
      <c r="O94" s="82"/>
      <c r="P94" s="82"/>
      <c r="Q94" s="83">
        <f>100*(B94+L94)/([8]Cartera_Bruta!B95+'G2.4B'!L94)</f>
        <v>1.7769792141876193</v>
      </c>
      <c r="R94" s="82">
        <f>100*(C94+M94)/([8]Cartera_Bruta!C95+'G2.4B'!M94)</f>
        <v>4.5580995542802585</v>
      </c>
      <c r="S94" s="82">
        <f>100*(D94+N94)/([8]Cartera_Bruta!D95+'G2.4B'!N94)</f>
        <v>13.33273550051555</v>
      </c>
      <c r="T94" s="82">
        <f>100*(E94+O94)/([8]Cartera_Bruta!F95+'G2.4B'!O94)</f>
        <v>5.450730469219601</v>
      </c>
      <c r="U94" s="84">
        <f>100*(F94+P94)/([8]Cartera_Bruta!G95+'G2.4B'!P94)</f>
        <v>3.657864944013419</v>
      </c>
      <c r="V94" s="48" t="str">
        <f t="shared" si="1"/>
        <v>F</v>
      </c>
    </row>
    <row r="95" spans="1:22" x14ac:dyDescent="0.3">
      <c r="A95" s="43">
        <v>38899</v>
      </c>
      <c r="B95" s="83">
        <f>[8]Cartera_Vencida!B95</f>
        <v>1.6635788867571399</v>
      </c>
      <c r="C95" s="82">
        <f>[8]Cartera_Vencida!C95</f>
        <v>1.61029815358283</v>
      </c>
      <c r="D95" s="82">
        <f>[8]Cartera_Vencida!D95</f>
        <v>1.6664677250248001</v>
      </c>
      <c r="E95" s="82">
        <f>[8]Cartera_Vencida!E95</f>
        <v>0.126105776852836</v>
      </c>
      <c r="F95" s="84">
        <f>[8]Cartera_Vencida!F95</f>
        <v>5.0664505422176065</v>
      </c>
      <c r="G95" s="82">
        <f>100*B95/[8]Cartera_Bruta!B96</f>
        <v>1.9521194672149844</v>
      </c>
      <c r="H95" s="82">
        <f>100*C95/[8]Cartera_Bruta!C96</f>
        <v>4.6574623975647391</v>
      </c>
      <c r="I95" s="82">
        <f>100*D95/[8]Cartera_Bruta!D96</f>
        <v>12.831182114170266</v>
      </c>
      <c r="J95" s="82">
        <f>100*E95/[8]Cartera_Bruta!F96</f>
        <v>5.4931436689457627</v>
      </c>
      <c r="K95" s="84">
        <f>+F95*100/[8]Cartera_Bruta!G96</f>
        <v>3.7507861968255516</v>
      </c>
      <c r="L95" s="82"/>
      <c r="M95" s="82"/>
      <c r="N95" s="82"/>
      <c r="O95" s="82"/>
      <c r="P95" s="82"/>
      <c r="Q95" s="83">
        <f>100*(B95+L95)/([8]Cartera_Bruta!B96+'G2.4B'!L95)</f>
        <v>1.9521194672149844</v>
      </c>
      <c r="R95" s="82">
        <f>100*(C95+M95)/([8]Cartera_Bruta!C96+'G2.4B'!M95)</f>
        <v>4.6574623975647391</v>
      </c>
      <c r="S95" s="82">
        <f>100*(D95+N95)/([8]Cartera_Bruta!D96+'G2.4B'!N95)</f>
        <v>12.831182114170266</v>
      </c>
      <c r="T95" s="82">
        <f>100*(E95+O95)/([8]Cartera_Bruta!F96+'G2.4B'!O95)</f>
        <v>5.4931436689457627</v>
      </c>
      <c r="U95" s="84">
        <f>100*(F95+P95)/([8]Cartera_Bruta!G96+'G2.4B'!P95)</f>
        <v>3.7507861968255516</v>
      </c>
      <c r="V95" s="48" t="str">
        <f t="shared" si="1"/>
        <v>F</v>
      </c>
    </row>
    <row r="96" spans="1:22" x14ac:dyDescent="0.3">
      <c r="A96" s="43">
        <v>38930</v>
      </c>
      <c r="B96" s="83">
        <f>[8]Cartera_Vencida!B96</f>
        <v>1.4324617724008801</v>
      </c>
      <c r="C96" s="82">
        <f>[8]Cartera_Vencida!C96</f>
        <v>1.60096298911095</v>
      </c>
      <c r="D96" s="82">
        <f>[8]Cartera_Vencida!D96</f>
        <v>1.66831395987982</v>
      </c>
      <c r="E96" s="82">
        <f>[8]Cartera_Vencida!E96</f>
        <v>0.12473818935213099</v>
      </c>
      <c r="F96" s="84">
        <f>[8]Cartera_Vencida!F96</f>
        <v>4.8264769107437813</v>
      </c>
      <c r="G96" s="82">
        <f>100*B96/[8]Cartera_Bruta!B97</f>
        <v>1.6648146399763428</v>
      </c>
      <c r="H96" s="82">
        <f>100*C96/[8]Cartera_Bruta!C97</f>
        <v>4.4814151356315133</v>
      </c>
      <c r="I96" s="82">
        <f>100*D96/[8]Cartera_Bruta!D97</f>
        <v>12.488445195927648</v>
      </c>
      <c r="J96" s="82">
        <f>100*E96/[8]Cartera_Bruta!F97</f>
        <v>5.303099875742916</v>
      </c>
      <c r="K96" s="84">
        <f>+F96*100/[8]Cartera_Bruta!G97</f>
        <v>3.5107050142368403</v>
      </c>
      <c r="L96" s="82"/>
      <c r="M96" s="82"/>
      <c r="N96" s="82"/>
      <c r="O96" s="82"/>
      <c r="P96" s="82"/>
      <c r="Q96" s="83">
        <f>100*(B96+L96)/([8]Cartera_Bruta!B97+'G2.4B'!L96)</f>
        <v>1.6648146399763428</v>
      </c>
      <c r="R96" s="82">
        <f>100*(C96+M96)/([8]Cartera_Bruta!C97+'G2.4B'!M96)</f>
        <v>4.4814151356315133</v>
      </c>
      <c r="S96" s="82">
        <f>100*(D96+N96)/([8]Cartera_Bruta!D97+'G2.4B'!N96)</f>
        <v>12.488445195927648</v>
      </c>
      <c r="T96" s="82">
        <f>100*(E96+O96)/([8]Cartera_Bruta!F97+'G2.4B'!O96)</f>
        <v>5.303099875742916</v>
      </c>
      <c r="U96" s="84">
        <f>100*(F96+P96)/([8]Cartera_Bruta!G97+'G2.4B'!P96)</f>
        <v>3.5107050142368403</v>
      </c>
      <c r="V96" s="48" t="str">
        <f t="shared" si="1"/>
        <v>F</v>
      </c>
    </row>
    <row r="97" spans="1:22" x14ac:dyDescent="0.3">
      <c r="A97" s="43">
        <v>38961</v>
      </c>
      <c r="B97" s="83">
        <f>[8]Cartera_Vencida!B97</f>
        <v>1.5425175194738301</v>
      </c>
      <c r="C97" s="82">
        <f>[8]Cartera_Vencida!C97</f>
        <v>1.64359154540365</v>
      </c>
      <c r="D97" s="82">
        <f>[8]Cartera_Vencida!D97</f>
        <v>1.59390179343992</v>
      </c>
      <c r="E97" s="82">
        <f>[8]Cartera_Vencida!E97</f>
        <v>0.13002901912988998</v>
      </c>
      <c r="F97" s="84">
        <f>[8]Cartera_Vencida!F97</f>
        <v>4.9100398774472902</v>
      </c>
      <c r="G97" s="82">
        <f>100*B97/[8]Cartera_Bruta!B98</f>
        <v>1.7643142682748332</v>
      </c>
      <c r="H97" s="82">
        <f>100*C97/[8]Cartera_Bruta!C98</f>
        <v>4.4292463730358964</v>
      </c>
      <c r="I97" s="82">
        <f>100*D97/[8]Cartera_Bruta!D98</f>
        <v>11.531503172195489</v>
      </c>
      <c r="J97" s="82">
        <f>100*E97/[8]Cartera_Bruta!F98</f>
        <v>5.3816653153061145</v>
      </c>
      <c r="K97" s="84">
        <f>+F97*100/[8]Cartera_Bruta!G98</f>
        <v>3.487870231698043</v>
      </c>
      <c r="L97" s="82"/>
      <c r="M97" s="82"/>
      <c r="N97" s="82"/>
      <c r="O97" s="82"/>
      <c r="P97" s="82"/>
      <c r="Q97" s="83">
        <f>100*(B97+L97)/([8]Cartera_Bruta!B98+'G2.4B'!L97)</f>
        <v>1.7643142682748332</v>
      </c>
      <c r="R97" s="82">
        <f>100*(C97+M97)/([8]Cartera_Bruta!C98+'G2.4B'!M97)</f>
        <v>4.4292463730358964</v>
      </c>
      <c r="S97" s="82">
        <f>100*(D97+N97)/([8]Cartera_Bruta!D98+'G2.4B'!N97)</f>
        <v>11.531503172195489</v>
      </c>
      <c r="T97" s="82">
        <f>100*(E97+O97)/([8]Cartera_Bruta!F98+'G2.4B'!O97)</f>
        <v>5.3816653153061145</v>
      </c>
      <c r="U97" s="84">
        <f>100*(F97+P97)/([8]Cartera_Bruta!G98+'G2.4B'!P97)</f>
        <v>3.487870231698043</v>
      </c>
      <c r="V97" s="48" t="str">
        <f t="shared" si="1"/>
        <v>F</v>
      </c>
    </row>
    <row r="98" spans="1:22" x14ac:dyDescent="0.3">
      <c r="A98" s="43">
        <v>38991</v>
      </c>
      <c r="B98" s="83">
        <f>[8]Cartera_Vencida!B98</f>
        <v>1.5435842882131801</v>
      </c>
      <c r="C98" s="82">
        <f>[8]Cartera_Vencida!C98</f>
        <v>1.7878234450272099</v>
      </c>
      <c r="D98" s="82">
        <f>[8]Cartera_Vencida!D98</f>
        <v>1.6219848918367501</v>
      </c>
      <c r="E98" s="82">
        <f>[8]Cartera_Vencida!E98</f>
        <v>0.13026167904635999</v>
      </c>
      <c r="F98" s="84">
        <f>[8]Cartera_Vencida!F98</f>
        <v>5.0836543041234989</v>
      </c>
      <c r="G98" s="82">
        <f>100*B98/[8]Cartera_Bruta!B99</f>
        <v>1.7208708951719376</v>
      </c>
      <c r="H98" s="82">
        <f>100*C98/[8]Cartera_Bruta!C99</f>
        <v>4.6654547510775997</v>
      </c>
      <c r="I98" s="82">
        <f>100*D98/[8]Cartera_Bruta!D99</f>
        <v>12.401247529431197</v>
      </c>
      <c r="J98" s="82">
        <f>100*E98/[8]Cartera_Bruta!F99</f>
        <v>5.2426382249627022</v>
      </c>
      <c r="K98" s="84">
        <f>+F98*100/[8]Cartera_Bruta!G99</f>
        <v>3.540588705695356</v>
      </c>
      <c r="L98" s="82"/>
      <c r="M98" s="82"/>
      <c r="N98" s="82"/>
      <c r="O98" s="82"/>
      <c r="P98" s="82"/>
      <c r="Q98" s="83">
        <f>100*(B98+L98)/([8]Cartera_Bruta!B99+'G2.4B'!L98)</f>
        <v>1.7208708951719376</v>
      </c>
      <c r="R98" s="82">
        <f>100*(C98+M98)/([8]Cartera_Bruta!C99+'G2.4B'!M98)</f>
        <v>4.6654547510775997</v>
      </c>
      <c r="S98" s="82">
        <f>100*(D98+N98)/([8]Cartera_Bruta!D99+'G2.4B'!N98)</f>
        <v>12.401247529431197</v>
      </c>
      <c r="T98" s="82">
        <f>100*(E98+O98)/([8]Cartera_Bruta!F99+'G2.4B'!O98)</f>
        <v>5.2426382249627022</v>
      </c>
      <c r="U98" s="84">
        <f>100*(F98+P98)/([8]Cartera_Bruta!G99+'G2.4B'!P98)</f>
        <v>3.540588705695356</v>
      </c>
      <c r="V98" s="48" t="str">
        <f t="shared" si="1"/>
        <v>F</v>
      </c>
    </row>
    <row r="99" spans="1:22" x14ac:dyDescent="0.3">
      <c r="A99" s="43">
        <v>39022</v>
      </c>
      <c r="B99" s="83">
        <f>[8]Cartera_Vencida!B99</f>
        <v>1.4715417440095899</v>
      </c>
      <c r="C99" s="82">
        <f>[8]Cartera_Vencida!C99</f>
        <v>1.8642600055357901</v>
      </c>
      <c r="D99" s="82">
        <f>[8]Cartera_Vencida!D99</f>
        <v>1.60721086885022</v>
      </c>
      <c r="E99" s="82">
        <f>[8]Cartera_Vencida!E99</f>
        <v>0.13241316493517999</v>
      </c>
      <c r="F99" s="84">
        <f>[8]Cartera_Vencida!F99</f>
        <v>5.0754257833307799</v>
      </c>
      <c r="G99" s="82">
        <f>100*B99/[8]Cartera_Bruta!B100</f>
        <v>1.598764907857648</v>
      </c>
      <c r="H99" s="82">
        <f>100*C99/[8]Cartera_Bruta!C100</f>
        <v>4.7190414156695777</v>
      </c>
      <c r="I99" s="82">
        <f>100*D99/[8]Cartera_Bruta!D100</f>
        <v>12.312241969338105</v>
      </c>
      <c r="J99" s="82">
        <f>100*E99/[8]Cartera_Bruta!F100</f>
        <v>5.2588062976469283</v>
      </c>
      <c r="K99" s="84">
        <f>+F99*100/[8]Cartera_Bruta!G100</f>
        <v>3.4498740566352364</v>
      </c>
      <c r="L99" s="82"/>
      <c r="M99" s="82"/>
      <c r="N99" s="82"/>
      <c r="O99" s="82"/>
      <c r="P99" s="82"/>
      <c r="Q99" s="83">
        <f>100*(B99+L99)/([8]Cartera_Bruta!B100+'G2.4B'!L99)</f>
        <v>1.598764907857648</v>
      </c>
      <c r="R99" s="82">
        <f>100*(C99+M99)/([8]Cartera_Bruta!C100+'G2.4B'!M99)</f>
        <v>4.7190414156695777</v>
      </c>
      <c r="S99" s="82">
        <f>100*(D99+N99)/([8]Cartera_Bruta!D100+'G2.4B'!N99)</f>
        <v>12.312241969338105</v>
      </c>
      <c r="T99" s="82">
        <f>100*(E99+O99)/([8]Cartera_Bruta!F100+'G2.4B'!O99)</f>
        <v>5.2588062976469283</v>
      </c>
      <c r="U99" s="84">
        <f>100*(F99+P99)/([8]Cartera_Bruta!G100+'G2.4B'!P99)</f>
        <v>3.4498740566352364</v>
      </c>
      <c r="V99" s="48" t="str">
        <f t="shared" si="1"/>
        <v>F</v>
      </c>
    </row>
    <row r="100" spans="1:22" x14ac:dyDescent="0.3">
      <c r="A100" s="43">
        <v>39052</v>
      </c>
      <c r="B100" s="83">
        <f>[8]Cartera_Vencida!B100</f>
        <v>1.41267874849427</v>
      </c>
      <c r="C100" s="82">
        <f>[8]Cartera_Vencida!C100</f>
        <v>1.8131367931187898</v>
      </c>
      <c r="D100" s="82">
        <f>[8]Cartera_Vencida!D100</f>
        <v>1.43175414950102</v>
      </c>
      <c r="E100" s="82">
        <f>[8]Cartera_Vencida!E100</f>
        <v>0.136301883281301</v>
      </c>
      <c r="F100" s="84">
        <f>[8]Cartera_Vencida!F100</f>
        <v>4.7938715743953813</v>
      </c>
      <c r="G100" s="82">
        <f>100*B100/[8]Cartera_Bruta!B101</f>
        <v>1.5147783990952026</v>
      </c>
      <c r="H100" s="82">
        <f>100*C100/[8]Cartera_Bruta!C101</f>
        <v>4.4479482838844966</v>
      </c>
      <c r="I100" s="82">
        <f>100*D100/[8]Cartera_Bruta!D101</f>
        <v>11.104502729632369</v>
      </c>
      <c r="J100" s="82">
        <f>100*E100/[8]Cartera_Bruta!F101</f>
        <v>5.3540533200168046</v>
      </c>
      <c r="K100" s="84">
        <f>+F100*100/[8]Cartera_Bruta!G101</f>
        <v>3.2074090862312836</v>
      </c>
      <c r="L100" s="82"/>
      <c r="M100" s="82"/>
      <c r="N100" s="82"/>
      <c r="O100" s="82"/>
      <c r="P100" s="82"/>
      <c r="Q100" s="83">
        <f>100*(B100+L100)/([8]Cartera_Bruta!B101+'G2.4B'!L100)</f>
        <v>1.5147783990952026</v>
      </c>
      <c r="R100" s="82">
        <f>100*(C100+M100)/([8]Cartera_Bruta!C101+'G2.4B'!M100)</f>
        <v>4.4479482838844966</v>
      </c>
      <c r="S100" s="82">
        <f>100*(D100+N100)/([8]Cartera_Bruta!D101+'G2.4B'!N100)</f>
        <v>11.104502729632369</v>
      </c>
      <c r="T100" s="82">
        <f>100*(E100+O100)/([8]Cartera_Bruta!F101+'G2.4B'!O100)</f>
        <v>5.3540533200168046</v>
      </c>
      <c r="U100" s="84">
        <f>100*(F100+P100)/([8]Cartera_Bruta!G101+'G2.4B'!P100)</f>
        <v>3.2074090862312836</v>
      </c>
      <c r="V100" s="48" t="str">
        <f t="shared" si="1"/>
        <v>F</v>
      </c>
    </row>
    <row r="101" spans="1:22" x14ac:dyDescent="0.3">
      <c r="A101" s="43">
        <v>39083</v>
      </c>
      <c r="B101" s="83">
        <f>[8]Cartera_Vencida!B101</f>
        <v>1.5554872849000199</v>
      </c>
      <c r="C101" s="82">
        <f>[8]Cartera_Vencida!C101</f>
        <v>1.94726701698025</v>
      </c>
      <c r="D101" s="82">
        <f>[8]Cartera_Vencida!D101</f>
        <v>1.51412394966257</v>
      </c>
      <c r="E101" s="82">
        <f>[8]Cartera_Vencida!E101</f>
        <v>0.142010849221897</v>
      </c>
      <c r="F101" s="84">
        <f>[8]Cartera_Vencida!F101</f>
        <v>5.1588891007647373</v>
      </c>
      <c r="G101" s="82">
        <f>100*B101/[8]Cartera_Bruta!B102</f>
        <v>1.6691508148353178</v>
      </c>
      <c r="H101" s="82">
        <f>100*C101/[8]Cartera_Bruta!C102</f>
        <v>4.7015576185426697</v>
      </c>
      <c r="I101" s="82">
        <f>100*D101/[8]Cartera_Bruta!D102</f>
        <v>11.457170400079468</v>
      </c>
      <c r="J101" s="82">
        <f>100*E101/[8]Cartera_Bruta!F102</f>
        <v>5.5014800167609152</v>
      </c>
      <c r="K101" s="84">
        <f>+F101*100/[8]Cartera_Bruta!G102</f>
        <v>3.4300061651797589</v>
      </c>
      <c r="L101" s="82"/>
      <c r="M101" s="82"/>
      <c r="N101" s="82"/>
      <c r="O101" s="82"/>
      <c r="P101" s="82"/>
      <c r="Q101" s="83">
        <f>100*(B101+L101)/([8]Cartera_Bruta!B102+'G2.4B'!L101)</f>
        <v>1.6691508148353178</v>
      </c>
      <c r="R101" s="82">
        <f>100*(C101+M101)/([8]Cartera_Bruta!C102+'G2.4B'!M101)</f>
        <v>4.7015576185426697</v>
      </c>
      <c r="S101" s="82">
        <f>100*(D101+N101)/([8]Cartera_Bruta!D102+'G2.4B'!N101)</f>
        <v>11.457170400079468</v>
      </c>
      <c r="T101" s="82">
        <f>100*(E101+O101)/([8]Cartera_Bruta!F102+'G2.4B'!O101)</f>
        <v>5.5014800167609152</v>
      </c>
      <c r="U101" s="84">
        <f>100*(F101+P101)/([8]Cartera_Bruta!G102+'G2.4B'!P101)</f>
        <v>3.4300061651797589</v>
      </c>
      <c r="V101" s="48" t="str">
        <f t="shared" si="1"/>
        <v>F</v>
      </c>
    </row>
    <row r="102" spans="1:22" x14ac:dyDescent="0.3">
      <c r="A102" s="43">
        <v>39114</v>
      </c>
      <c r="B102" s="83">
        <f>[8]Cartera_Vencida!B102</f>
        <v>1.6324405400746902</v>
      </c>
      <c r="C102" s="82">
        <f>[8]Cartera_Vencida!C102</f>
        <v>2.05711265602987</v>
      </c>
      <c r="D102" s="82">
        <f>[8]Cartera_Vencida!D102</f>
        <v>1.4289998994292601</v>
      </c>
      <c r="E102" s="82">
        <f>[8]Cartera_Vencida!E102</f>
        <v>0.148612079623715</v>
      </c>
      <c r="F102" s="84">
        <f>[8]Cartera_Vencida!F102</f>
        <v>5.267165175157535</v>
      </c>
      <c r="G102" s="82">
        <f>100*B102/[8]Cartera_Bruta!B103</f>
        <v>1.7255137154323266</v>
      </c>
      <c r="H102" s="82">
        <f>100*C102/[8]Cartera_Bruta!C103</f>
        <v>4.8770911654258713</v>
      </c>
      <c r="I102" s="82">
        <f>100*D102/[8]Cartera_Bruta!D103</f>
        <v>10.609086656819326</v>
      </c>
      <c r="J102" s="82">
        <f>100*E102/[8]Cartera_Bruta!F103</f>
        <v>5.755265562516743</v>
      </c>
      <c r="K102" s="84">
        <f>+F102*100/[8]Cartera_Bruta!G103</f>
        <v>3.4462647626047715</v>
      </c>
      <c r="L102" s="82"/>
      <c r="M102" s="82"/>
      <c r="N102" s="82"/>
      <c r="O102" s="82"/>
      <c r="P102" s="82"/>
      <c r="Q102" s="83">
        <f>100*(B102+L102)/([8]Cartera_Bruta!B103+'G2.4B'!L102)</f>
        <v>1.7255137154323266</v>
      </c>
      <c r="R102" s="82">
        <f>100*(C102+M102)/([8]Cartera_Bruta!C103+'G2.4B'!M102)</f>
        <v>4.8770911654258713</v>
      </c>
      <c r="S102" s="82">
        <f>100*(D102+N102)/([8]Cartera_Bruta!D103+'G2.4B'!N102)</f>
        <v>10.609086656819326</v>
      </c>
      <c r="T102" s="82">
        <f>100*(E102+O102)/([8]Cartera_Bruta!F103+'G2.4B'!O102)</f>
        <v>5.755265562516743</v>
      </c>
      <c r="U102" s="84">
        <f>100*(F102+P102)/([8]Cartera_Bruta!G103+'G2.4B'!P102)</f>
        <v>3.4462647626047715</v>
      </c>
      <c r="V102" s="48" t="str">
        <f t="shared" si="1"/>
        <v>F</v>
      </c>
    </row>
    <row r="103" spans="1:22" x14ac:dyDescent="0.3">
      <c r="A103" s="43">
        <v>39142</v>
      </c>
      <c r="B103" s="83">
        <f>[8]Cartera_Vencida!B103</f>
        <v>1.6209958889115901</v>
      </c>
      <c r="C103" s="82">
        <f>[8]Cartera_Vencida!C103</f>
        <v>2.1250053941919202</v>
      </c>
      <c r="D103" s="82">
        <f>[8]Cartera_Vencida!D103</f>
        <v>1.48772615809877</v>
      </c>
      <c r="E103" s="82">
        <f>[8]Cartera_Vencida!E103</f>
        <v>0.155607146585821</v>
      </c>
      <c r="F103" s="84">
        <f>[8]Cartera_Vencida!F103</f>
        <v>5.3893345877881007</v>
      </c>
      <c r="G103" s="82">
        <f>100*B103/[8]Cartera_Bruta!B104</f>
        <v>1.693370385577871</v>
      </c>
      <c r="H103" s="82">
        <f>100*C103/[8]Cartera_Bruta!C104</f>
        <v>4.8806329877894914</v>
      </c>
      <c r="I103" s="82">
        <f>100*D103/[8]Cartera_Bruta!D104</f>
        <v>10.759039832758889</v>
      </c>
      <c r="J103" s="82">
        <f>100*E103/[8]Cartera_Bruta!F104</f>
        <v>5.8771298285534099</v>
      </c>
      <c r="K103" s="84">
        <f>+F103*100/[8]Cartera_Bruta!G104</f>
        <v>3.4604488506597733</v>
      </c>
      <c r="L103" s="82"/>
      <c r="M103" s="82"/>
      <c r="N103" s="82"/>
      <c r="O103" s="82"/>
      <c r="P103" s="82"/>
      <c r="Q103" s="83">
        <f>100*(B103+L103)/([8]Cartera_Bruta!B104+'G2.4B'!L103)</f>
        <v>1.693370385577871</v>
      </c>
      <c r="R103" s="82">
        <f>100*(C103+M103)/([8]Cartera_Bruta!C104+'G2.4B'!M103)</f>
        <v>4.8806329877894914</v>
      </c>
      <c r="S103" s="82">
        <f>100*(D103+N103)/([8]Cartera_Bruta!D104+'G2.4B'!N103)</f>
        <v>10.759039832758889</v>
      </c>
      <c r="T103" s="82">
        <f>100*(E103+O103)/([8]Cartera_Bruta!F104+'G2.4B'!O103)</f>
        <v>5.8771298285534099</v>
      </c>
      <c r="U103" s="84">
        <f>100*(F103+P103)/([8]Cartera_Bruta!G104+'G2.4B'!P103)</f>
        <v>3.4604488506597733</v>
      </c>
      <c r="V103" s="48" t="str">
        <f t="shared" si="1"/>
        <v>F</v>
      </c>
    </row>
    <row r="104" spans="1:22" x14ac:dyDescent="0.3">
      <c r="A104" s="43">
        <v>39173</v>
      </c>
      <c r="B104" s="83">
        <f>[8]Cartera_Vencida!B104</f>
        <v>1.84892076875636</v>
      </c>
      <c r="C104" s="82">
        <f>[8]Cartera_Vencida!C104</f>
        <v>2.23175415309694</v>
      </c>
      <c r="D104" s="82">
        <f>[8]Cartera_Vencida!D104</f>
        <v>1.54016835287179</v>
      </c>
      <c r="E104" s="82">
        <f>[8]Cartera_Vencida!E104</f>
        <v>0.15916386748287001</v>
      </c>
      <c r="F104" s="84">
        <f>[8]Cartera_Vencida!F104</f>
        <v>5.7800071422079595</v>
      </c>
      <c r="G104" s="82">
        <f>100*B104/[8]Cartera_Bruta!B105</f>
        <v>1.9217502332022061</v>
      </c>
      <c r="H104" s="82">
        <f>100*C104/[8]Cartera_Bruta!C105</f>
        <v>4.9746204310359419</v>
      </c>
      <c r="I104" s="82">
        <f>100*D104/[8]Cartera_Bruta!D105</f>
        <v>10.926659517715636</v>
      </c>
      <c r="J104" s="82">
        <f>100*E104/[8]Cartera_Bruta!F105</f>
        <v>5.9435464095535133</v>
      </c>
      <c r="K104" s="84">
        <f>+F104*100/[8]Cartera_Bruta!G105</f>
        <v>3.6617900192127468</v>
      </c>
      <c r="L104" s="82"/>
      <c r="M104" s="82"/>
      <c r="N104" s="82"/>
      <c r="O104" s="82"/>
      <c r="P104" s="82"/>
      <c r="Q104" s="83">
        <f>100*(B104+L104)/([8]Cartera_Bruta!B105+'G2.4B'!L104)</f>
        <v>1.9217502332022061</v>
      </c>
      <c r="R104" s="82">
        <f>100*(C104+M104)/([8]Cartera_Bruta!C105+'G2.4B'!M104)</f>
        <v>4.9746204310359419</v>
      </c>
      <c r="S104" s="82">
        <f>100*(D104+N104)/([8]Cartera_Bruta!D105+'G2.4B'!N104)</f>
        <v>10.926659517715636</v>
      </c>
      <c r="T104" s="82">
        <f>100*(E104+O104)/([8]Cartera_Bruta!F105+'G2.4B'!O104)</f>
        <v>5.9435464095535133</v>
      </c>
      <c r="U104" s="84">
        <f>100*(F104+P104)/([8]Cartera_Bruta!G105+'G2.4B'!P104)</f>
        <v>3.6617900192127468</v>
      </c>
      <c r="V104" s="48" t="str">
        <f t="shared" si="1"/>
        <v>F</v>
      </c>
    </row>
    <row r="105" spans="1:22" x14ac:dyDescent="0.3">
      <c r="A105" s="43">
        <v>39203</v>
      </c>
      <c r="B105" s="83">
        <f>[8]Cartera_Vencida!B105</f>
        <v>1.77899723659555</v>
      </c>
      <c r="C105" s="82">
        <f>[8]Cartera_Vencida!C105</f>
        <v>2.28401591875835</v>
      </c>
      <c r="D105" s="82">
        <f>[8]Cartera_Vencida!D105</f>
        <v>1.56498155079506</v>
      </c>
      <c r="E105" s="82">
        <f>[8]Cartera_Vencida!E105</f>
        <v>0.15964027859167201</v>
      </c>
      <c r="F105" s="84">
        <f>[8]Cartera_Vencida!F105</f>
        <v>5.7876349847406319</v>
      </c>
      <c r="G105" s="82">
        <f>100*B105/[8]Cartera_Bruta!B106</f>
        <v>1.7998997841324142</v>
      </c>
      <c r="H105" s="82">
        <f>100*C105/[8]Cartera_Bruta!C106</f>
        <v>4.9840906739097868</v>
      </c>
      <c r="I105" s="82">
        <f>100*D105/[8]Cartera_Bruta!D106</f>
        <v>10.741106728286484</v>
      </c>
      <c r="J105" s="82">
        <f>100*E105/[8]Cartera_Bruta!F106</f>
        <v>5.9313053719440356</v>
      </c>
      <c r="K105" s="84">
        <f>+F105*100/[8]Cartera_Bruta!G106</f>
        <v>3.5742397725114934</v>
      </c>
      <c r="L105" s="82"/>
      <c r="M105" s="82"/>
      <c r="N105" s="82"/>
      <c r="O105" s="82"/>
      <c r="P105" s="82"/>
      <c r="Q105" s="83">
        <f>100*(B105+L105)/([8]Cartera_Bruta!B106+'G2.4B'!L105)</f>
        <v>1.7998997841324142</v>
      </c>
      <c r="R105" s="82">
        <f>100*(C105+M105)/([8]Cartera_Bruta!C106+'G2.4B'!M105)</f>
        <v>4.9840906739097868</v>
      </c>
      <c r="S105" s="82">
        <f>100*(D105+N105)/([8]Cartera_Bruta!D106+'G2.4B'!N105)</f>
        <v>10.741106728286484</v>
      </c>
      <c r="T105" s="82">
        <f>100*(E105+O105)/([8]Cartera_Bruta!F106+'G2.4B'!O105)</f>
        <v>5.9313053719440356</v>
      </c>
      <c r="U105" s="84">
        <f>100*(F105+P105)/([8]Cartera_Bruta!G106+'G2.4B'!P105)</f>
        <v>3.5742397725114934</v>
      </c>
      <c r="V105" s="48" t="str">
        <f t="shared" si="1"/>
        <v>F</v>
      </c>
    </row>
    <row r="106" spans="1:22" x14ac:dyDescent="0.3">
      <c r="A106" s="43">
        <v>39234</v>
      </c>
      <c r="B106" s="83">
        <f>[8]Cartera_Vencida!B106</f>
        <v>1.8295134569382101</v>
      </c>
      <c r="C106" s="82">
        <f>[8]Cartera_Vencida!C106</f>
        <v>2.4514537578200102</v>
      </c>
      <c r="D106" s="82">
        <f>[8]Cartera_Vencida!D106</f>
        <v>1.49171749268683</v>
      </c>
      <c r="E106" s="82">
        <f>[8]Cartera_Vencida!E106</f>
        <v>0.16808427952938199</v>
      </c>
      <c r="F106" s="84">
        <f>[8]Cartera_Vencida!F106</f>
        <v>5.9407689869744322</v>
      </c>
      <c r="G106" s="82">
        <f>100*B106/[8]Cartera_Bruta!B107</f>
        <v>1.8185154291347827</v>
      </c>
      <c r="H106" s="82">
        <f>100*C106/[8]Cartera_Bruta!C107</f>
        <v>5.2316775310215551</v>
      </c>
      <c r="I106" s="82">
        <f>100*D106/[8]Cartera_Bruta!D107</f>
        <v>10.314466755930159</v>
      </c>
      <c r="J106" s="82">
        <f>100*E106/[8]Cartera_Bruta!F107</f>
        <v>6.2164817049928747</v>
      </c>
      <c r="K106" s="84">
        <f>+F106*100/[8]Cartera_Bruta!G107</f>
        <v>3.6085820434520675</v>
      </c>
      <c r="L106" s="82"/>
      <c r="M106" s="82"/>
      <c r="N106" s="82"/>
      <c r="O106" s="82"/>
      <c r="P106" s="82"/>
      <c r="Q106" s="83">
        <f>100*(B106+L106)/([8]Cartera_Bruta!B107+'G2.4B'!L106)</f>
        <v>1.8185154291347827</v>
      </c>
      <c r="R106" s="82">
        <f>100*(C106+M106)/([8]Cartera_Bruta!C107+'G2.4B'!M106)</f>
        <v>5.2316775310215551</v>
      </c>
      <c r="S106" s="82">
        <f>100*(D106+N106)/([8]Cartera_Bruta!D107+'G2.4B'!N106)</f>
        <v>10.314466755930159</v>
      </c>
      <c r="T106" s="82">
        <f>100*(E106+O106)/([8]Cartera_Bruta!F107+'G2.4B'!O106)</f>
        <v>6.2164817049928747</v>
      </c>
      <c r="U106" s="84">
        <f>100*(F106+P106)/([8]Cartera_Bruta!G107+'G2.4B'!P106)</f>
        <v>3.6085820434520675</v>
      </c>
      <c r="V106" s="48" t="str">
        <f t="shared" si="1"/>
        <v>F</v>
      </c>
    </row>
    <row r="107" spans="1:22" x14ac:dyDescent="0.3">
      <c r="A107" s="43">
        <v>39264</v>
      </c>
      <c r="B107" s="83">
        <f>[8]Cartera_Vencida!B107</f>
        <v>1.9934691453539</v>
      </c>
      <c r="C107" s="82">
        <f>[8]Cartera_Vencida!C107</f>
        <v>2.5520470803775499</v>
      </c>
      <c r="D107" s="82">
        <f>[8]Cartera_Vencida!D107</f>
        <v>1.5428681209367399</v>
      </c>
      <c r="E107" s="82">
        <f>[8]Cartera_Vencida!E107</f>
        <v>0.17570307020888801</v>
      </c>
      <c r="F107" s="84">
        <f>[8]Cartera_Vencida!F107</f>
        <v>6.2640874168770777</v>
      </c>
      <c r="G107" s="82">
        <f>100*B107/[8]Cartera_Bruta!B108</f>
        <v>1.9460026584685941</v>
      </c>
      <c r="H107" s="82">
        <f>100*C107/[8]Cartera_Bruta!C108</f>
        <v>5.3293399534302823</v>
      </c>
      <c r="I107" s="82">
        <f>100*D107/[8]Cartera_Bruta!D108</f>
        <v>10.830139720033507</v>
      </c>
      <c r="J107" s="82">
        <f>100*E107/[8]Cartera_Bruta!F108</f>
        <v>6.4641977325514324</v>
      </c>
      <c r="K107" s="84">
        <f>+F107*100/[8]Cartera_Bruta!G108</f>
        <v>3.7444466002434091</v>
      </c>
      <c r="L107" s="82"/>
      <c r="M107" s="82"/>
      <c r="N107" s="82"/>
      <c r="O107" s="82"/>
      <c r="P107" s="82"/>
      <c r="Q107" s="83">
        <f>100*(B107+L107)/([8]Cartera_Bruta!B108+'G2.4B'!L107)</f>
        <v>1.9460026584685941</v>
      </c>
      <c r="R107" s="82">
        <f>100*(C107+M107)/([8]Cartera_Bruta!C108+'G2.4B'!M107)</f>
        <v>5.3293399534302823</v>
      </c>
      <c r="S107" s="82">
        <f>100*(D107+N107)/([8]Cartera_Bruta!D108+'G2.4B'!N107)</f>
        <v>10.830139720033507</v>
      </c>
      <c r="T107" s="82">
        <f>100*(E107+O107)/([8]Cartera_Bruta!F108+'G2.4B'!O107)</f>
        <v>6.4641977325514324</v>
      </c>
      <c r="U107" s="84">
        <f>100*(F107+P107)/([8]Cartera_Bruta!G108+'G2.4B'!P107)</f>
        <v>3.7444466002434091</v>
      </c>
      <c r="V107" s="48" t="str">
        <f t="shared" si="1"/>
        <v>F</v>
      </c>
    </row>
    <row r="108" spans="1:22" x14ac:dyDescent="0.3">
      <c r="A108" s="43">
        <v>39295</v>
      </c>
      <c r="B108" s="83">
        <f>[8]Cartera_Vencida!B108</f>
        <v>2.0311060514749801</v>
      </c>
      <c r="C108" s="82">
        <f>[8]Cartera_Vencida!C108</f>
        <v>2.5793998995471603</v>
      </c>
      <c r="D108" s="82">
        <f>[8]Cartera_Vencida!D108</f>
        <v>1.5239891430130501</v>
      </c>
      <c r="E108" s="82">
        <f>[8]Cartera_Vencida!E108</f>
        <v>0.17475675556346398</v>
      </c>
      <c r="F108" s="84">
        <f>[8]Cartera_Vencida!F108</f>
        <v>6.3092518495986551</v>
      </c>
      <c r="G108" s="82">
        <f>100*B108/[8]Cartera_Bruta!B109</f>
        <v>1.9461123712640829</v>
      </c>
      <c r="H108" s="82">
        <f>100*C108/[8]Cartera_Bruta!C109</f>
        <v>5.2893109770886992</v>
      </c>
      <c r="I108" s="82">
        <f>100*D108/[8]Cartera_Bruta!D109</f>
        <v>10.464940201972912</v>
      </c>
      <c r="J108" s="82">
        <f>100*E108/[8]Cartera_Bruta!F109</f>
        <v>6.4133856010799093</v>
      </c>
      <c r="K108" s="84">
        <f>+F108*100/[8]Cartera_Bruta!G109</f>
        <v>3.7021494987713965</v>
      </c>
      <c r="L108" s="82"/>
      <c r="M108" s="82"/>
      <c r="N108" s="82"/>
      <c r="O108" s="82"/>
      <c r="P108" s="82"/>
      <c r="Q108" s="83">
        <f>100*(B108+L108)/([8]Cartera_Bruta!B109+'G2.4B'!L108)</f>
        <v>1.9461123712640829</v>
      </c>
      <c r="R108" s="82">
        <f>100*(C108+M108)/([8]Cartera_Bruta!C109+'G2.4B'!M108)</f>
        <v>5.2893109770886992</v>
      </c>
      <c r="S108" s="82">
        <f>100*(D108+N108)/([8]Cartera_Bruta!D109+'G2.4B'!N108)</f>
        <v>10.464940201972912</v>
      </c>
      <c r="T108" s="82">
        <f>100*(E108+O108)/([8]Cartera_Bruta!F109+'G2.4B'!O108)</f>
        <v>6.4133856010799093</v>
      </c>
      <c r="U108" s="84">
        <f>100*(F108+P108)/([8]Cartera_Bruta!G109+'G2.4B'!P108)</f>
        <v>3.7021494987713965</v>
      </c>
      <c r="V108" s="48" t="str">
        <f t="shared" si="1"/>
        <v>F</v>
      </c>
    </row>
    <row r="109" spans="1:22" x14ac:dyDescent="0.3">
      <c r="A109" s="43">
        <v>39326</v>
      </c>
      <c r="B109" s="83">
        <f>[8]Cartera_Vencida!B109</f>
        <v>2.0708324674660599</v>
      </c>
      <c r="C109" s="82">
        <f>[8]Cartera_Vencida!C109</f>
        <v>2.7534577330196699</v>
      </c>
      <c r="D109" s="82">
        <f>[8]Cartera_Vencida!D109</f>
        <v>1.5045021066119</v>
      </c>
      <c r="E109" s="82">
        <f>[8]Cartera_Vencida!E109</f>
        <v>0.19274989679327198</v>
      </c>
      <c r="F109" s="84">
        <f>[8]Cartera_Vencida!F109</f>
        <v>6.5215422038909017</v>
      </c>
      <c r="G109" s="82">
        <f>100*B109/[8]Cartera_Bruta!B110</f>
        <v>1.9390113364340276</v>
      </c>
      <c r="H109" s="82">
        <f>100*C109/[8]Cartera_Bruta!C110</f>
        <v>5.5381700105278968</v>
      </c>
      <c r="I109" s="82">
        <f>100*D109/[8]Cartera_Bruta!D110</f>
        <v>10.079438997672849</v>
      </c>
      <c r="J109" s="82">
        <f>100*E109/[8]Cartera_Bruta!F110</f>
        <v>6.9433517922005938</v>
      </c>
      <c r="K109" s="84">
        <f>+F109*100/[8]Cartera_Bruta!G110</f>
        <v>3.7433083154823188</v>
      </c>
      <c r="L109" s="82"/>
      <c r="M109" s="82"/>
      <c r="N109" s="82"/>
      <c r="O109" s="82"/>
      <c r="P109" s="82"/>
      <c r="Q109" s="83">
        <f>100*(B109+L109)/([8]Cartera_Bruta!B110+'G2.4B'!L109)</f>
        <v>1.9390113364340276</v>
      </c>
      <c r="R109" s="82">
        <f>100*(C109+M109)/([8]Cartera_Bruta!C110+'G2.4B'!M109)</f>
        <v>5.5381700105278968</v>
      </c>
      <c r="S109" s="82">
        <f>100*(D109+N109)/([8]Cartera_Bruta!D110+'G2.4B'!N109)</f>
        <v>10.079438997672849</v>
      </c>
      <c r="T109" s="82">
        <f>100*(E109+O109)/([8]Cartera_Bruta!F110+'G2.4B'!O109)</f>
        <v>6.9433517922005938</v>
      </c>
      <c r="U109" s="84">
        <f>100*(F109+P109)/([8]Cartera_Bruta!G110+'G2.4B'!P109)</f>
        <v>3.7433083154823188</v>
      </c>
      <c r="V109" s="48" t="str">
        <f t="shared" si="1"/>
        <v>F</v>
      </c>
    </row>
    <row r="110" spans="1:22" x14ac:dyDescent="0.3">
      <c r="A110" s="43">
        <v>39356</v>
      </c>
      <c r="B110" s="83">
        <f>[8]Cartera_Vencida!B110</f>
        <v>2.1846236958226699</v>
      </c>
      <c r="C110" s="82">
        <f>[8]Cartera_Vencida!C110</f>
        <v>2.9227421037891501</v>
      </c>
      <c r="D110" s="82">
        <f>[8]Cartera_Vencida!D110</f>
        <v>1.56828891953401</v>
      </c>
      <c r="E110" s="82">
        <f>[8]Cartera_Vencida!E110</f>
        <v>0.19618504630831701</v>
      </c>
      <c r="F110" s="84">
        <f>[8]Cartera_Vencida!F110</f>
        <v>6.8718397654541468</v>
      </c>
      <c r="G110" s="82">
        <f>100*B110/[8]Cartera_Bruta!B111</f>
        <v>2.0236825550712059</v>
      </c>
      <c r="H110" s="82">
        <f>100*C110/[8]Cartera_Bruta!C111</f>
        <v>5.6508637696204858</v>
      </c>
      <c r="I110" s="82">
        <f>100*D110/[8]Cartera_Bruta!D111</f>
        <v>9.9864452192546924</v>
      </c>
      <c r="J110" s="82">
        <f>100*E110/[8]Cartera_Bruta!F111</f>
        <v>6.942408844351168</v>
      </c>
      <c r="K110" s="84">
        <f>+F110*100/[8]Cartera_Bruta!G111</f>
        <v>3.8561431804848931</v>
      </c>
      <c r="L110" s="82"/>
      <c r="M110" s="82"/>
      <c r="N110" s="82"/>
      <c r="O110" s="82"/>
      <c r="P110" s="82"/>
      <c r="Q110" s="83">
        <f>100*(B110+L110)/([8]Cartera_Bruta!B111+'G2.4B'!L110)</f>
        <v>2.0236825550712059</v>
      </c>
      <c r="R110" s="82">
        <f>100*(C110+M110)/([8]Cartera_Bruta!C111+'G2.4B'!M110)</f>
        <v>5.6508637696204858</v>
      </c>
      <c r="S110" s="82">
        <f>100*(D110+N110)/([8]Cartera_Bruta!D111+'G2.4B'!N110)</f>
        <v>9.9864452192546924</v>
      </c>
      <c r="T110" s="82">
        <f>100*(E110+O110)/([8]Cartera_Bruta!F111+'G2.4B'!O110)</f>
        <v>6.942408844351168</v>
      </c>
      <c r="U110" s="84">
        <f>100*(F110+P110)/([8]Cartera_Bruta!G111+'G2.4B'!P110)</f>
        <v>3.8561431804848931</v>
      </c>
      <c r="V110" s="48" t="str">
        <f t="shared" si="1"/>
        <v>F</v>
      </c>
    </row>
    <row r="111" spans="1:22" x14ac:dyDescent="0.3">
      <c r="A111" s="43">
        <v>39387</v>
      </c>
      <c r="B111" s="83">
        <f>[8]Cartera_Vencida!B111</f>
        <v>2.3696532180371799</v>
      </c>
      <c r="C111" s="82">
        <f>[8]Cartera_Vencida!C111</f>
        <v>3.0803378293504502</v>
      </c>
      <c r="D111" s="82">
        <f>[8]Cartera_Vencida!D111</f>
        <v>1.59407122010227</v>
      </c>
      <c r="E111" s="82">
        <f>[8]Cartera_Vencida!E111</f>
        <v>0.20383751520884499</v>
      </c>
      <c r="F111" s="84">
        <f>[8]Cartera_Vencida!F111</f>
        <v>7.2478997826987461</v>
      </c>
      <c r="G111" s="82">
        <f>100*B111/[8]Cartera_Bruta!B112</f>
        <v>2.1393633266952889</v>
      </c>
      <c r="H111" s="82">
        <f>100*C111/[8]Cartera_Bruta!C112</f>
        <v>5.8918888636965816</v>
      </c>
      <c r="I111" s="82">
        <f>100*D111/[8]Cartera_Bruta!D112</f>
        <v>10.246668734777089</v>
      </c>
      <c r="J111" s="82">
        <f>100*E111/[8]Cartera_Bruta!F112</f>
        <v>7.1362957295027174</v>
      </c>
      <c r="K111" s="84">
        <f>+F111*100/[8]Cartera_Bruta!G112</f>
        <v>3.9942416149614446</v>
      </c>
      <c r="L111" s="82"/>
      <c r="M111" s="82"/>
      <c r="N111" s="82"/>
      <c r="O111" s="82"/>
      <c r="P111" s="82"/>
      <c r="Q111" s="83">
        <f>100*(B111+L111)/([8]Cartera_Bruta!B112+'G2.4B'!L111)</f>
        <v>2.1393633266952889</v>
      </c>
      <c r="R111" s="82">
        <f>100*(C111+M111)/([8]Cartera_Bruta!C112+'G2.4B'!M111)</f>
        <v>5.8918888636965816</v>
      </c>
      <c r="S111" s="82">
        <f>100*(D111+N111)/([8]Cartera_Bruta!D112+'G2.4B'!N111)</f>
        <v>10.246668734777089</v>
      </c>
      <c r="T111" s="82">
        <f>100*(E111+O111)/([8]Cartera_Bruta!F112+'G2.4B'!O111)</f>
        <v>7.1362957295027174</v>
      </c>
      <c r="U111" s="84">
        <f>100*(F111+P111)/([8]Cartera_Bruta!G112+'G2.4B'!P111)</f>
        <v>3.9942416149614446</v>
      </c>
      <c r="V111" s="48" t="str">
        <f t="shared" si="1"/>
        <v>F</v>
      </c>
    </row>
    <row r="112" spans="1:22" x14ac:dyDescent="0.3">
      <c r="A112" s="43">
        <v>39417</v>
      </c>
      <c r="B112" s="83">
        <f>[8]Cartera_Vencida!B112</f>
        <v>2.2714330872098296</v>
      </c>
      <c r="C112" s="82">
        <f>[8]Cartera_Vencida!C112</f>
        <v>2.95325148562122</v>
      </c>
      <c r="D112" s="82">
        <f>[8]Cartera_Vencida!D112</f>
        <v>1.4104632937593802</v>
      </c>
      <c r="E112" s="82">
        <f>[8]Cartera_Vencida!E112</f>
        <v>0.19901922531973001</v>
      </c>
      <c r="F112" s="84">
        <f>[8]Cartera_Vencida!F112</f>
        <v>6.8341670919101603</v>
      </c>
      <c r="G112" s="82">
        <f>100*B112/[8]Cartera_Bruta!B113</f>
        <v>2.0540984908817661</v>
      </c>
      <c r="H112" s="82">
        <f>100*C112/[8]Cartera_Bruta!C113</f>
        <v>5.5786808718909962</v>
      </c>
      <c r="I112" s="82">
        <f>100*D112/[8]Cartera_Bruta!D113</f>
        <v>9.1671051881127639</v>
      </c>
      <c r="J112" s="82">
        <f>100*E112/[8]Cartera_Bruta!F113</f>
        <v>6.9480324235009201</v>
      </c>
      <c r="K112" s="84">
        <f>+F112*100/[8]Cartera_Bruta!G113</f>
        <v>3.7598040454919084</v>
      </c>
      <c r="L112" s="82"/>
      <c r="M112" s="82"/>
      <c r="N112" s="82"/>
      <c r="O112" s="82"/>
      <c r="P112" s="82"/>
      <c r="Q112" s="83">
        <f>100*(B112+L112)/([8]Cartera_Bruta!B113+'G2.4B'!L112)</f>
        <v>2.0540984908817661</v>
      </c>
      <c r="R112" s="82">
        <f>100*(C112+M112)/([8]Cartera_Bruta!C113+'G2.4B'!M112)</f>
        <v>5.5786808718909962</v>
      </c>
      <c r="S112" s="82">
        <f>100*(D112+N112)/([8]Cartera_Bruta!D113+'G2.4B'!N112)</f>
        <v>9.1671051881127639</v>
      </c>
      <c r="T112" s="82">
        <f>100*(E112+O112)/([8]Cartera_Bruta!F113+'G2.4B'!O112)</f>
        <v>6.9480324235009201</v>
      </c>
      <c r="U112" s="84">
        <f>100*(F112+P112)/([8]Cartera_Bruta!G113+'G2.4B'!P112)</f>
        <v>3.7598040454919084</v>
      </c>
      <c r="V112" s="48" t="str">
        <f t="shared" si="1"/>
        <v>F</v>
      </c>
    </row>
    <row r="113" spans="1:22" x14ac:dyDescent="0.3">
      <c r="A113" s="43">
        <v>39448</v>
      </c>
      <c r="B113" s="83">
        <f>[8]Cartera_Vencida!B113</f>
        <v>2.4739405133356098</v>
      </c>
      <c r="C113" s="82">
        <f>[8]Cartera_Vencida!C113</f>
        <v>3.1607702390351999</v>
      </c>
      <c r="D113" s="82">
        <f>[8]Cartera_Vencida!D113</f>
        <v>1.5188752620776</v>
      </c>
      <c r="E113" s="82">
        <f>[8]Cartera_Vencida!E113</f>
        <v>0.20934469035134901</v>
      </c>
      <c r="F113" s="84">
        <f>[8]Cartera_Vencida!F113</f>
        <v>7.3629307047997585</v>
      </c>
      <c r="G113" s="82">
        <f>100*B113/[8]Cartera_Bruta!B114</f>
        <v>2.2535631133897529</v>
      </c>
      <c r="H113" s="82">
        <f>100*C113/[8]Cartera_Bruta!C114</f>
        <v>5.9613389635910332</v>
      </c>
      <c r="I113" s="82">
        <f>100*D113/[8]Cartera_Bruta!D114</f>
        <v>9.7632928388960689</v>
      </c>
      <c r="J113" s="82">
        <f>100*E113/[8]Cartera_Bruta!F114</f>
        <v>7.3572125638515322</v>
      </c>
      <c r="K113" s="84">
        <f>+F113*100/[8]Cartera_Bruta!G114</f>
        <v>4.0633682561050524</v>
      </c>
      <c r="L113" s="82"/>
      <c r="M113" s="82"/>
      <c r="N113" s="82"/>
      <c r="O113" s="82"/>
      <c r="P113" s="82"/>
      <c r="Q113" s="83">
        <f>100*(B113+L113)/([8]Cartera_Bruta!B114+'G2.4B'!L113)</f>
        <v>2.2535631133897529</v>
      </c>
      <c r="R113" s="82">
        <f>100*(C113+M113)/([8]Cartera_Bruta!C114+'G2.4B'!M113)</f>
        <v>5.9613389635910332</v>
      </c>
      <c r="S113" s="82">
        <f>100*(D113+N113)/([8]Cartera_Bruta!D114+'G2.4B'!N113)</f>
        <v>9.7632928388960689</v>
      </c>
      <c r="T113" s="82">
        <f>100*(E113+O113)/([8]Cartera_Bruta!F114+'G2.4B'!O113)</f>
        <v>7.3572125638515322</v>
      </c>
      <c r="U113" s="84">
        <f>100*(F113+P113)/([8]Cartera_Bruta!G114+'G2.4B'!P113)</f>
        <v>4.0633682561050524</v>
      </c>
      <c r="V113" s="48" t="str">
        <f t="shared" si="1"/>
        <v>F</v>
      </c>
    </row>
    <row r="114" spans="1:22" x14ac:dyDescent="0.3">
      <c r="A114" s="43">
        <v>39479</v>
      </c>
      <c r="B114" s="83">
        <f>[8]Cartera_Vencida!B114</f>
        <v>2.6313868480823004</v>
      </c>
      <c r="C114" s="82">
        <f>[8]Cartera_Vencida!C114</f>
        <v>3.3413173584313403</v>
      </c>
      <c r="D114" s="82">
        <f>[8]Cartera_Vencida!D114</f>
        <v>1.5037614843753699</v>
      </c>
      <c r="E114" s="82">
        <f>[8]Cartera_Vencida!E114</f>
        <v>0.21093219373174701</v>
      </c>
      <c r="F114" s="84">
        <f>[8]Cartera_Vencida!F114</f>
        <v>7.6873978846207569</v>
      </c>
      <c r="G114" s="82">
        <f>100*B114/[8]Cartera_Bruta!B115</f>
        <v>2.3829190479468045</v>
      </c>
      <c r="H114" s="82">
        <f>100*C114/[8]Cartera_Bruta!C115</f>
        <v>6.2919084764279996</v>
      </c>
      <c r="I114" s="82">
        <f>100*D114/[8]Cartera_Bruta!D115</f>
        <v>9.5054863380979349</v>
      </c>
      <c r="J114" s="82">
        <f>100*E114/[8]Cartera_Bruta!F115</f>
        <v>7.4012790475098962</v>
      </c>
      <c r="K114" s="84">
        <f>+F114*100/[8]Cartera_Bruta!G115</f>
        <v>4.2191645173276093</v>
      </c>
      <c r="L114" s="82"/>
      <c r="M114" s="82"/>
      <c r="N114" s="82"/>
      <c r="O114" s="82"/>
      <c r="P114" s="82"/>
      <c r="Q114" s="83">
        <f>100*(B114+L114)/([8]Cartera_Bruta!B115+'G2.4B'!L114)</f>
        <v>2.3829190479468045</v>
      </c>
      <c r="R114" s="82">
        <f>100*(C114+M114)/([8]Cartera_Bruta!C115+'G2.4B'!M114)</f>
        <v>6.2919084764279996</v>
      </c>
      <c r="S114" s="82">
        <f>100*(D114+N114)/([8]Cartera_Bruta!D115+'G2.4B'!N114)</f>
        <v>9.5054863380979349</v>
      </c>
      <c r="T114" s="82">
        <f>100*(E114+O114)/([8]Cartera_Bruta!F115+'G2.4B'!O114)</f>
        <v>7.4012790475098962</v>
      </c>
      <c r="U114" s="84">
        <f>100*(F114+P114)/([8]Cartera_Bruta!G115+'G2.4B'!P114)</f>
        <v>4.2191645173276093</v>
      </c>
      <c r="V114" s="48" t="str">
        <f t="shared" si="1"/>
        <v>F</v>
      </c>
    </row>
    <row r="115" spans="1:22" x14ac:dyDescent="0.3">
      <c r="A115" s="43">
        <v>39508</v>
      </c>
      <c r="B115" s="83">
        <f>[8]Cartera_Vencida!B115</f>
        <v>2.8339168715693797</v>
      </c>
      <c r="C115" s="82">
        <f>[8]Cartera_Vencida!C115</f>
        <v>3.7041051312355298</v>
      </c>
      <c r="D115" s="82">
        <f>[8]Cartera_Vencida!D115</f>
        <v>1.58968231681952</v>
      </c>
      <c r="E115" s="82">
        <f>[8]Cartera_Vencida!E115</f>
        <v>0.22838958630307998</v>
      </c>
      <c r="F115" s="84">
        <f>[8]Cartera_Vencida!F115</f>
        <v>8.3560939059275103</v>
      </c>
      <c r="G115" s="82">
        <f>100*B115/[8]Cartera_Bruta!B116</f>
        <v>2.5529216342185586</v>
      </c>
      <c r="H115" s="82">
        <f>100*C115/[8]Cartera_Bruta!C116</f>
        <v>6.9614000560410716</v>
      </c>
      <c r="I115" s="82">
        <f>100*D115/[8]Cartera_Bruta!D116</f>
        <v>9.9406226875443728</v>
      </c>
      <c r="J115" s="82">
        <f>100*E115/[8]Cartera_Bruta!F116</f>
        <v>8.021553478965691</v>
      </c>
      <c r="K115" s="84">
        <f>+F115*100/[8]Cartera_Bruta!G116</f>
        <v>4.5647999725002704</v>
      </c>
      <c r="L115" s="82"/>
      <c r="M115" s="82"/>
      <c r="N115" s="82"/>
      <c r="O115" s="82"/>
      <c r="P115" s="82"/>
      <c r="Q115" s="83">
        <f>100*(B115+L115)/([8]Cartera_Bruta!B116+'G2.4B'!L115)</f>
        <v>2.5529216342185586</v>
      </c>
      <c r="R115" s="82">
        <f>100*(C115+M115)/([8]Cartera_Bruta!C116+'G2.4B'!M115)</f>
        <v>6.9614000560410716</v>
      </c>
      <c r="S115" s="82">
        <f>100*(D115+N115)/([8]Cartera_Bruta!D116+'G2.4B'!N115)</f>
        <v>9.9406226875443728</v>
      </c>
      <c r="T115" s="82">
        <f>100*(E115+O115)/([8]Cartera_Bruta!F116+'G2.4B'!O115)</f>
        <v>8.021553478965691</v>
      </c>
      <c r="U115" s="84">
        <f>100*(F115+P115)/([8]Cartera_Bruta!G116+'G2.4B'!P115)</f>
        <v>4.5647999725002704</v>
      </c>
      <c r="V115" s="48" t="str">
        <f t="shared" si="1"/>
        <v>F</v>
      </c>
    </row>
    <row r="116" spans="1:22" x14ac:dyDescent="0.3">
      <c r="A116" s="43">
        <v>39539</v>
      </c>
      <c r="B116" s="83">
        <f>[8]Cartera_Vencida!B116</f>
        <v>2.8462563759734101</v>
      </c>
      <c r="C116" s="82">
        <f>[8]Cartera_Vencida!C116</f>
        <v>3.7797207928092598</v>
      </c>
      <c r="D116" s="82">
        <f>[8]Cartera_Vencida!D116</f>
        <v>1.5403698446537002</v>
      </c>
      <c r="E116" s="82">
        <f>[8]Cartera_Vencida!E116</f>
        <v>0.23076509812189702</v>
      </c>
      <c r="F116" s="84">
        <f>[8]Cartera_Vencida!F116</f>
        <v>8.3971121115582665</v>
      </c>
      <c r="G116" s="82">
        <f>100*B116/[8]Cartera_Bruta!B117</f>
        <v>2.5579908266418481</v>
      </c>
      <c r="H116" s="82">
        <f>100*C116/[8]Cartera_Bruta!C117</f>
        <v>7.0251618854261633</v>
      </c>
      <c r="I116" s="82">
        <f>100*D116/[8]Cartera_Bruta!D117</f>
        <v>9.5944101462783813</v>
      </c>
      <c r="J116" s="82">
        <f>100*E116/[8]Cartera_Bruta!F117</f>
        <v>7.9098827939738783</v>
      </c>
      <c r="K116" s="84">
        <f>+F116*100/[8]Cartera_Bruta!G117</f>
        <v>4.5625536807718623</v>
      </c>
      <c r="L116" s="82"/>
      <c r="M116" s="82"/>
      <c r="N116" s="82"/>
      <c r="O116" s="82"/>
      <c r="P116" s="82"/>
      <c r="Q116" s="83">
        <f>100*(B116+L116)/([8]Cartera_Bruta!B117+'G2.4B'!L116)</f>
        <v>2.5579908266418481</v>
      </c>
      <c r="R116" s="82">
        <f>100*(C116+M116)/([8]Cartera_Bruta!C117+'G2.4B'!M116)</f>
        <v>7.0251618854261633</v>
      </c>
      <c r="S116" s="82">
        <f>100*(D116+N116)/([8]Cartera_Bruta!D117+'G2.4B'!N116)</f>
        <v>9.5944101462783813</v>
      </c>
      <c r="T116" s="82">
        <f>100*(E116+O116)/([8]Cartera_Bruta!F117+'G2.4B'!O116)</f>
        <v>7.9098827939738783</v>
      </c>
      <c r="U116" s="84">
        <f>100*(F116+P116)/([8]Cartera_Bruta!G117+'G2.4B'!P116)</f>
        <v>4.5625536807718623</v>
      </c>
      <c r="V116" s="48" t="str">
        <f t="shared" si="1"/>
        <v>F</v>
      </c>
    </row>
    <row r="117" spans="1:22" x14ac:dyDescent="0.3">
      <c r="A117" s="43">
        <v>39569</v>
      </c>
      <c r="B117" s="83">
        <f>[8]Cartera_Vencida!B117</f>
        <v>3.0987735905307598</v>
      </c>
      <c r="C117" s="82">
        <f>[8]Cartera_Vencida!C117</f>
        <v>3.84357821998098</v>
      </c>
      <c r="D117" s="82">
        <f>[8]Cartera_Vencida!D117</f>
        <v>1.6003500495710699</v>
      </c>
      <c r="E117" s="82">
        <f>[8]Cartera_Vencida!E117</f>
        <v>0.22916665174656298</v>
      </c>
      <c r="F117" s="84">
        <f>[8]Cartera_Vencida!F117</f>
        <v>8.7718685118293731</v>
      </c>
      <c r="G117" s="82">
        <f>100*B117/[8]Cartera_Bruta!B118</f>
        <v>2.7591927487128443</v>
      </c>
      <c r="H117" s="82">
        <f>100*C117/[8]Cartera_Bruta!C118</f>
        <v>7.0668207089017194</v>
      </c>
      <c r="I117" s="82">
        <f>100*D117/[8]Cartera_Bruta!D118</f>
        <v>10.072858302661773</v>
      </c>
      <c r="J117" s="82">
        <f>100*E117/[8]Cartera_Bruta!F118</f>
        <v>7.6778737751057724</v>
      </c>
      <c r="K117" s="84">
        <f>+F117*100/[8]Cartera_Bruta!G118</f>
        <v>4.7270159240941974</v>
      </c>
      <c r="L117" s="82"/>
      <c r="M117" s="82"/>
      <c r="N117" s="82"/>
      <c r="O117" s="82"/>
      <c r="P117" s="82"/>
      <c r="Q117" s="83">
        <f>100*(B117+L117)/([8]Cartera_Bruta!B118+'G2.4B'!L117)</f>
        <v>2.7591927487128443</v>
      </c>
      <c r="R117" s="82">
        <f>100*(C117+M117)/([8]Cartera_Bruta!C118+'G2.4B'!M117)</f>
        <v>7.0668207089017194</v>
      </c>
      <c r="S117" s="82">
        <f>100*(D117+N117)/([8]Cartera_Bruta!D118+'G2.4B'!N117)</f>
        <v>10.072858302661773</v>
      </c>
      <c r="T117" s="82">
        <f>100*(E117+O117)/([8]Cartera_Bruta!F118+'G2.4B'!O117)</f>
        <v>7.6778737751057724</v>
      </c>
      <c r="U117" s="84">
        <f>100*(F117+P117)/([8]Cartera_Bruta!G118+'G2.4B'!P117)</f>
        <v>4.7270159240941974</v>
      </c>
      <c r="V117" s="48" t="str">
        <f t="shared" si="1"/>
        <v>F</v>
      </c>
    </row>
    <row r="118" spans="1:22" x14ac:dyDescent="0.3">
      <c r="A118" s="43">
        <v>39600</v>
      </c>
      <c r="B118" s="83">
        <f>[8]Cartera_Vencida!B118</f>
        <v>3.1132149385935302</v>
      </c>
      <c r="C118" s="82">
        <f>[8]Cartera_Vencida!C118</f>
        <v>3.6748058382191302</v>
      </c>
      <c r="D118" s="82">
        <f>[8]Cartera_Vencida!D118</f>
        <v>1.5235325651823999</v>
      </c>
      <c r="E118" s="82">
        <f>[8]Cartera_Vencida!E118</f>
        <v>0.23080908201533498</v>
      </c>
      <c r="F118" s="84">
        <f>[8]Cartera_Vencida!F118</f>
        <v>8.5423624240103955</v>
      </c>
      <c r="G118" s="82">
        <f>100*B118/[8]Cartera_Bruta!B119</f>
        <v>2.6893916212937738</v>
      </c>
      <c r="H118" s="82">
        <f>100*C118/[8]Cartera_Bruta!C119</f>
        <v>6.7493105807556333</v>
      </c>
      <c r="I118" s="82">
        <f>100*D118/[8]Cartera_Bruta!D119</f>
        <v>9.3825444498789459</v>
      </c>
      <c r="J118" s="82">
        <f>100*E118/[8]Cartera_Bruta!F119</f>
        <v>7.4315105200797866</v>
      </c>
      <c r="K118" s="84">
        <f>+F118*100/[8]Cartera_Bruta!G119</f>
        <v>4.5066545907872646</v>
      </c>
      <c r="L118" s="82"/>
      <c r="M118" s="82"/>
      <c r="N118" s="82"/>
      <c r="O118" s="82"/>
      <c r="P118" s="82"/>
      <c r="Q118" s="83">
        <f>100*(B118+L118)/([8]Cartera_Bruta!B119+'G2.4B'!L118)</f>
        <v>2.6893916212937738</v>
      </c>
      <c r="R118" s="82">
        <f>100*(C118+M118)/([8]Cartera_Bruta!C119+'G2.4B'!M118)</f>
        <v>6.7493105807556333</v>
      </c>
      <c r="S118" s="82">
        <f>100*(D118+N118)/([8]Cartera_Bruta!D119+'G2.4B'!N118)</f>
        <v>9.3825444498789459</v>
      </c>
      <c r="T118" s="82">
        <f>100*(E118+O118)/([8]Cartera_Bruta!F119+'G2.4B'!O118)</f>
        <v>7.4315105200797866</v>
      </c>
      <c r="U118" s="84">
        <f>100*(F118+P118)/([8]Cartera_Bruta!G119+'G2.4B'!P118)</f>
        <v>4.5066545907872646</v>
      </c>
      <c r="V118" s="48" t="str">
        <f t="shared" si="1"/>
        <v>F</v>
      </c>
    </row>
    <row r="119" spans="1:22" x14ac:dyDescent="0.3">
      <c r="A119" s="43">
        <v>39630</v>
      </c>
      <c r="B119" s="83">
        <f>[8]Cartera_Vencida!B119</f>
        <v>3.18941863630487</v>
      </c>
      <c r="C119" s="82">
        <f>[8]Cartera_Vencida!C119</f>
        <v>3.6872046369219298</v>
      </c>
      <c r="D119" s="82">
        <f>[8]Cartera_Vencida!D119</f>
        <v>1.4966192892946999</v>
      </c>
      <c r="E119" s="82">
        <f>[8]Cartera_Vencida!E119</f>
        <v>0.22707400302098701</v>
      </c>
      <c r="F119" s="84">
        <f>[8]Cartera_Vencida!F119</f>
        <v>8.6003165655424851</v>
      </c>
      <c r="G119" s="82">
        <f>100*B119/[8]Cartera_Bruta!B120</f>
        <v>2.7363887558103324</v>
      </c>
      <c r="H119" s="82">
        <f>100*C119/[8]Cartera_Bruta!C120</f>
        <v>6.7042510617569189</v>
      </c>
      <c r="I119" s="82">
        <f>100*D119/[8]Cartera_Bruta!D120</f>
        <v>8.9999915646421602</v>
      </c>
      <c r="J119" s="82">
        <f>100*E119/[8]Cartera_Bruta!F120</f>
        <v>7.1431778639574173</v>
      </c>
      <c r="K119" s="84">
        <f>+F119*100/[8]Cartera_Bruta!G120</f>
        <v>4.4942708074153472</v>
      </c>
      <c r="L119" s="82"/>
      <c r="M119" s="82"/>
      <c r="N119" s="82"/>
      <c r="O119" s="82"/>
      <c r="P119" s="82"/>
      <c r="Q119" s="83">
        <f>100*(B119+L119)/([8]Cartera_Bruta!B120+'G2.4B'!L119)</f>
        <v>2.7363887558103324</v>
      </c>
      <c r="R119" s="82">
        <f>100*(C119+M119)/([8]Cartera_Bruta!C120+'G2.4B'!M119)</f>
        <v>6.7042510617569189</v>
      </c>
      <c r="S119" s="82">
        <f>100*(D119+N119)/([8]Cartera_Bruta!D120+'G2.4B'!N119)</f>
        <v>8.9999915646421602</v>
      </c>
      <c r="T119" s="82">
        <f>100*(E119+O119)/([8]Cartera_Bruta!F120+'G2.4B'!O119)</f>
        <v>7.1431778639574173</v>
      </c>
      <c r="U119" s="84">
        <f>100*(F119+P119)/([8]Cartera_Bruta!G120+'G2.4B'!P119)</f>
        <v>4.4942708074153472</v>
      </c>
      <c r="V119" s="48" t="str">
        <f t="shared" si="1"/>
        <v>F</v>
      </c>
    </row>
    <row r="120" spans="1:22" x14ac:dyDescent="0.3">
      <c r="A120" s="43">
        <v>39661</v>
      </c>
      <c r="B120" s="83">
        <f>[8]Cartera_Vencida!B120</f>
        <v>3.3468769151593998</v>
      </c>
      <c r="C120" s="82">
        <f>[8]Cartera_Vencida!C120</f>
        <v>4.0510308264481401</v>
      </c>
      <c r="D120" s="82">
        <f>[8]Cartera_Vencida!D120</f>
        <v>1.57670427289899</v>
      </c>
      <c r="E120" s="82">
        <f>[8]Cartera_Vencida!E120</f>
        <v>0.24230171197024</v>
      </c>
      <c r="F120" s="84">
        <f>[8]Cartera_Vencida!F120</f>
        <v>9.2169137264767702</v>
      </c>
      <c r="G120" s="82">
        <f>100*B120/[8]Cartera_Bruta!B121</f>
        <v>2.8255831477622224</v>
      </c>
      <c r="H120" s="82">
        <f>100*C120/[8]Cartera_Bruta!C121</f>
        <v>7.3172060516478732</v>
      </c>
      <c r="I120" s="82">
        <f>100*D120/[8]Cartera_Bruta!D121</f>
        <v>9.6146777533716392</v>
      </c>
      <c r="J120" s="82">
        <f>100*E120/[8]Cartera_Bruta!F121</f>
        <v>7.4585774662928159</v>
      </c>
      <c r="K120" s="84">
        <f>+F120*100/[8]Cartera_Bruta!G121</f>
        <v>4.764254842298425</v>
      </c>
      <c r="L120" s="82"/>
      <c r="M120" s="82"/>
      <c r="N120" s="82"/>
      <c r="O120" s="82"/>
      <c r="P120" s="82"/>
      <c r="Q120" s="83">
        <f>100*(B120+L120)/([8]Cartera_Bruta!B121+'G2.4B'!L120)</f>
        <v>2.8255831477622224</v>
      </c>
      <c r="R120" s="82">
        <f>100*(C120+M120)/([8]Cartera_Bruta!C121+'G2.4B'!M120)</f>
        <v>7.3172060516478732</v>
      </c>
      <c r="S120" s="82">
        <f>100*(D120+N120)/([8]Cartera_Bruta!D121+'G2.4B'!N120)</f>
        <v>9.6146777533716392</v>
      </c>
      <c r="T120" s="82">
        <f>100*(E120+O120)/([8]Cartera_Bruta!F121+'G2.4B'!O120)</f>
        <v>7.4585774662928159</v>
      </c>
      <c r="U120" s="84">
        <f>100*(F120+P120)/([8]Cartera_Bruta!G121+'G2.4B'!P120)</f>
        <v>4.764254842298425</v>
      </c>
      <c r="V120" s="48" t="str">
        <f t="shared" si="1"/>
        <v>F</v>
      </c>
    </row>
    <row r="121" spans="1:22" x14ac:dyDescent="0.3">
      <c r="A121" s="43">
        <v>39692</v>
      </c>
      <c r="B121" s="83">
        <f>[8]Cartera_Vencida!B121</f>
        <v>3.3541740271815099</v>
      </c>
      <c r="C121" s="82">
        <f>[8]Cartera_Vencida!C121</f>
        <v>4.0645430120507005</v>
      </c>
      <c r="D121" s="82">
        <f>[8]Cartera_Vencida!D121</f>
        <v>1.5844360844268301</v>
      </c>
      <c r="E121" s="82">
        <f>[8]Cartera_Vencida!E121</f>
        <v>0.25085277025237201</v>
      </c>
      <c r="F121" s="84">
        <f>[8]Cartera_Vencida!F121</f>
        <v>9.2540058939114118</v>
      </c>
      <c r="G121" s="82">
        <f>100*B121/[8]Cartera_Bruta!B122</f>
        <v>2.7615296737603847</v>
      </c>
      <c r="H121" s="82">
        <f>100*C121/[8]Cartera_Bruta!C122</f>
        <v>7.2856359944480591</v>
      </c>
      <c r="I121" s="82">
        <f>100*D121/[8]Cartera_Bruta!D122</f>
        <v>9.4725627492617921</v>
      </c>
      <c r="J121" s="82">
        <f>100*E121/[8]Cartera_Bruta!F122</f>
        <v>7.5255342894851447</v>
      </c>
      <c r="K121" s="84">
        <f>+F121*100/[8]Cartera_Bruta!G122</f>
        <v>4.6901057355658224</v>
      </c>
      <c r="L121" s="82"/>
      <c r="M121" s="82"/>
      <c r="N121" s="82"/>
      <c r="O121" s="82"/>
      <c r="P121" s="82"/>
      <c r="Q121" s="83">
        <f>100*(B121+L121)/([8]Cartera_Bruta!B122+'G2.4B'!L121)</f>
        <v>2.7615296737603847</v>
      </c>
      <c r="R121" s="82">
        <f>100*(C121+M121)/([8]Cartera_Bruta!C122+'G2.4B'!M121)</f>
        <v>7.2856359944480591</v>
      </c>
      <c r="S121" s="82">
        <f>100*(D121+N121)/([8]Cartera_Bruta!D122+'G2.4B'!N121)</f>
        <v>9.4725627492617921</v>
      </c>
      <c r="T121" s="82">
        <f>100*(E121+O121)/([8]Cartera_Bruta!F122+'G2.4B'!O121)</f>
        <v>7.5255342894851447</v>
      </c>
      <c r="U121" s="84">
        <f>100*(F121+P121)/([8]Cartera_Bruta!G122+'G2.4B'!P121)</f>
        <v>4.6901057355658224</v>
      </c>
      <c r="V121" s="48" t="str">
        <f t="shared" si="1"/>
        <v>F</v>
      </c>
    </row>
    <row r="122" spans="1:22" x14ac:dyDescent="0.3">
      <c r="A122" s="43">
        <v>39722</v>
      </c>
      <c r="B122" s="83">
        <f>[8]Cartera_Vencida!B122</f>
        <v>3.4703105502727198</v>
      </c>
      <c r="C122" s="82">
        <f>[8]Cartera_Vencida!C122</f>
        <v>4.07649828569755</v>
      </c>
      <c r="D122" s="82">
        <f>[8]Cartera_Vencida!D122</f>
        <v>1.6139045332222299</v>
      </c>
      <c r="E122" s="82">
        <f>[8]Cartera_Vencida!E122</f>
        <v>0.23412649860888202</v>
      </c>
      <c r="F122" s="84">
        <f>[8]Cartera_Vencida!F122</f>
        <v>9.394839867801382</v>
      </c>
      <c r="G122" s="82">
        <f>100*B122/[8]Cartera_Bruta!B123</f>
        <v>2.777372719370637</v>
      </c>
      <c r="H122" s="82">
        <f>100*C122/[8]Cartera_Bruta!C123</f>
        <v>7.2395789390775578</v>
      </c>
      <c r="I122" s="82">
        <f>100*D122/[8]Cartera_Bruta!D123</f>
        <v>9.4730645035420284</v>
      </c>
      <c r="J122" s="82">
        <f>100*E122/[8]Cartera_Bruta!F123</f>
        <v>6.9277021459973067</v>
      </c>
      <c r="K122" s="84">
        <f>+F122*100/[8]Cartera_Bruta!G123</f>
        <v>4.6584232822974165</v>
      </c>
      <c r="L122" s="82"/>
      <c r="M122" s="82"/>
      <c r="N122" s="82"/>
      <c r="O122" s="82"/>
      <c r="P122" s="82"/>
      <c r="Q122" s="83">
        <f>100*(B122+L122)/([8]Cartera_Bruta!B123+'G2.4B'!L122)</f>
        <v>2.777372719370637</v>
      </c>
      <c r="R122" s="82">
        <f>100*(C122+M122)/([8]Cartera_Bruta!C123+'G2.4B'!M122)</f>
        <v>7.2395789390775578</v>
      </c>
      <c r="S122" s="82">
        <f>100*(D122+N122)/([8]Cartera_Bruta!D123+'G2.4B'!N122)</f>
        <v>9.4730645035420284</v>
      </c>
      <c r="T122" s="82">
        <f>100*(E122+O122)/([8]Cartera_Bruta!F123+'G2.4B'!O122)</f>
        <v>6.9277021459973067</v>
      </c>
      <c r="U122" s="84">
        <f>100*(F122+P122)/([8]Cartera_Bruta!G123+'G2.4B'!P122)</f>
        <v>4.6584232822974165</v>
      </c>
      <c r="V122" s="48" t="str">
        <f t="shared" si="1"/>
        <v>F</v>
      </c>
    </row>
    <row r="123" spans="1:22" x14ac:dyDescent="0.3">
      <c r="A123" s="43">
        <v>39753</v>
      </c>
      <c r="B123" s="83">
        <f>[8]Cartera_Vencida!B123</f>
        <v>3.7660155369799</v>
      </c>
      <c r="C123" s="82">
        <f>[8]Cartera_Vencida!C123</f>
        <v>4.4104117110944792</v>
      </c>
      <c r="D123" s="82">
        <f>[8]Cartera_Vencida!D123</f>
        <v>1.7045028130567301</v>
      </c>
      <c r="E123" s="82">
        <f>[8]Cartera_Vencida!E123</f>
        <v>0.27719423428361301</v>
      </c>
      <c r="F123" s="84">
        <f>[8]Cartera_Vencida!F123</f>
        <v>10.158124295414723</v>
      </c>
      <c r="G123" s="82">
        <f>100*B123/[8]Cartera_Bruta!B124</f>
        <v>2.9603401991312581</v>
      </c>
      <c r="H123" s="82">
        <f>100*C123/[8]Cartera_Bruta!C124</f>
        <v>7.8070115083868243</v>
      </c>
      <c r="I123" s="82">
        <f>100*D123/[8]Cartera_Bruta!D124</f>
        <v>10.048554319388325</v>
      </c>
      <c r="J123" s="82">
        <f>100*E123/[8]Cartera_Bruta!F124</f>
        <v>7.1663396634911196</v>
      </c>
      <c r="K123" s="84">
        <f>+F123*100/[8]Cartera_Bruta!G124</f>
        <v>4.9663444723839589</v>
      </c>
      <c r="L123" s="82"/>
      <c r="M123" s="82"/>
      <c r="N123" s="82"/>
      <c r="O123" s="82"/>
      <c r="P123" s="82"/>
      <c r="Q123" s="83">
        <f>100*(B123+L123)/([8]Cartera_Bruta!B124+'G2.4B'!L123)</f>
        <v>2.9603401991312581</v>
      </c>
      <c r="R123" s="82">
        <f>100*(C123+M123)/([8]Cartera_Bruta!C124+'G2.4B'!M123)</f>
        <v>7.8070115083868243</v>
      </c>
      <c r="S123" s="82">
        <f>100*(D123+N123)/([8]Cartera_Bruta!D124+'G2.4B'!N123)</f>
        <v>10.048554319388325</v>
      </c>
      <c r="T123" s="82">
        <f>100*(E123+O123)/([8]Cartera_Bruta!F124+'G2.4B'!O123)</f>
        <v>7.1663396634911196</v>
      </c>
      <c r="U123" s="84">
        <f>100*(F123+P123)/([8]Cartera_Bruta!G124+'G2.4B'!P123)</f>
        <v>4.9663444723839589</v>
      </c>
      <c r="V123" s="48" t="str">
        <f t="shared" si="1"/>
        <v>F</v>
      </c>
    </row>
    <row r="124" spans="1:22" x14ac:dyDescent="0.3">
      <c r="A124" s="43">
        <v>39783</v>
      </c>
      <c r="B124" s="83">
        <f>[8]Cartera_Vencida!B124</f>
        <v>3.4607693883814403</v>
      </c>
      <c r="C124" s="82">
        <f>[8]Cartera_Vencida!C124</f>
        <v>4.0478651236857397</v>
      </c>
      <c r="D124" s="82">
        <f>[8]Cartera_Vencida!D124</f>
        <v>1.5725920322729701</v>
      </c>
      <c r="E124" s="82">
        <f>[8]Cartera_Vencida!E124</f>
        <v>0.26116154698236799</v>
      </c>
      <c r="F124" s="84">
        <f>[8]Cartera_Vencida!F124</f>
        <v>9.342388091322519</v>
      </c>
      <c r="G124" s="82">
        <f>100*B124/[8]Cartera_Bruta!B125</f>
        <v>2.7435799871156985</v>
      </c>
      <c r="H124" s="82">
        <f>100*C124/[8]Cartera_Bruta!C125</f>
        <v>7.169231065699992</v>
      </c>
      <c r="I124" s="82">
        <f>100*D124/[8]Cartera_Bruta!D125</f>
        <v>9.4537726015224646</v>
      </c>
      <c r="J124" s="82">
        <f>100*E124/[8]Cartera_Bruta!F125</f>
        <v>6.1486268729238862</v>
      </c>
      <c r="K124" s="84">
        <f>+F124*100/[8]Cartera_Bruta!G125</f>
        <v>4.591208328528011</v>
      </c>
      <c r="L124" s="82"/>
      <c r="M124" s="82"/>
      <c r="N124" s="82"/>
      <c r="O124" s="82"/>
      <c r="P124" s="82"/>
      <c r="Q124" s="83">
        <f>100*(B124+L124)/([8]Cartera_Bruta!B125+'G2.4B'!L124)</f>
        <v>2.7435799871156985</v>
      </c>
      <c r="R124" s="82">
        <f>100*(C124+M124)/([8]Cartera_Bruta!C125+'G2.4B'!M124)</f>
        <v>7.169231065699992</v>
      </c>
      <c r="S124" s="82">
        <f>100*(D124+N124)/([8]Cartera_Bruta!D125+'G2.4B'!N124)</f>
        <v>9.4537726015224646</v>
      </c>
      <c r="T124" s="82">
        <f>100*(E124+O124)/([8]Cartera_Bruta!F125+'G2.4B'!O124)</f>
        <v>6.1486268729238862</v>
      </c>
      <c r="U124" s="84">
        <f>100*(F124+P124)/([8]Cartera_Bruta!G125+'G2.4B'!P124)</f>
        <v>4.591208328528011</v>
      </c>
      <c r="V124" s="48" t="str">
        <f t="shared" si="1"/>
        <v>F</v>
      </c>
    </row>
    <row r="125" spans="1:22" x14ac:dyDescent="0.3">
      <c r="A125" s="43">
        <v>39814</v>
      </c>
      <c r="B125" s="83">
        <f>[8]Cartera_Vencida!B125</f>
        <v>3.8516047589499998</v>
      </c>
      <c r="C125" s="82">
        <f>[8]Cartera_Vencida!C125</f>
        <v>4.2961108750192007</v>
      </c>
      <c r="D125" s="82">
        <f>[8]Cartera_Vencida!D125</f>
        <v>1.7046622301473899</v>
      </c>
      <c r="E125" s="82">
        <f>[8]Cartera_Vencida!E125</f>
        <v>0.28240033847742402</v>
      </c>
      <c r="F125" s="84">
        <f>[8]Cartera_Vencida!F125</f>
        <v>10.134778202594015</v>
      </c>
      <c r="G125" s="82">
        <f>100*B125/[8]Cartera_Bruta!B126</f>
        <v>3.0663252134299155</v>
      </c>
      <c r="H125" s="82">
        <f>100*C125/[8]Cartera_Bruta!C126</f>
        <v>7.6824735957103227</v>
      </c>
      <c r="I125" s="82">
        <f>100*D125/[8]Cartera_Bruta!D126</f>
        <v>10.140660429715856</v>
      </c>
      <c r="J125" s="82">
        <f>100*E125/[8]Cartera_Bruta!F126</f>
        <v>6.5722506930707381</v>
      </c>
      <c r="K125" s="84">
        <f>+F125*100/[8]Cartera_Bruta!G126</f>
        <v>5.0014264302679772</v>
      </c>
      <c r="L125" s="82"/>
      <c r="M125" s="82"/>
      <c r="N125" s="82"/>
      <c r="O125" s="82"/>
      <c r="P125" s="82"/>
      <c r="Q125" s="83">
        <f>100*(B125+L125)/([8]Cartera_Bruta!B126+'G2.4B'!L125)</f>
        <v>3.0663252134299155</v>
      </c>
      <c r="R125" s="82">
        <f>100*(C125+M125)/([8]Cartera_Bruta!C126+'G2.4B'!M125)</f>
        <v>7.6824735957103227</v>
      </c>
      <c r="S125" s="82">
        <f>100*(D125+N125)/([8]Cartera_Bruta!D126+'G2.4B'!N125)</f>
        <v>10.140660429715856</v>
      </c>
      <c r="T125" s="82">
        <f>100*(E125+O125)/([8]Cartera_Bruta!F126+'G2.4B'!O125)</f>
        <v>6.5722506930707381</v>
      </c>
      <c r="U125" s="84">
        <f>100*(F125+P125)/([8]Cartera_Bruta!G126+'G2.4B'!P125)</f>
        <v>5.0014264302679772</v>
      </c>
      <c r="V125" s="48" t="str">
        <f t="shared" si="1"/>
        <v>T</v>
      </c>
    </row>
    <row r="126" spans="1:22" x14ac:dyDescent="0.3">
      <c r="A126" s="43">
        <v>39845</v>
      </c>
      <c r="B126" s="83">
        <f>[8]Cartera_Vencida!B126</f>
        <v>3.9431494368143802</v>
      </c>
      <c r="C126" s="82">
        <f>[8]Cartera_Vencida!C126</f>
        <v>4.4300032996496199</v>
      </c>
      <c r="D126" s="82">
        <f>[8]Cartera_Vencida!D126</f>
        <v>1.6918347565323701</v>
      </c>
      <c r="E126" s="82">
        <f>[8]Cartera_Vencida!E126</f>
        <v>0.29344352223611303</v>
      </c>
      <c r="F126" s="84">
        <f>[8]Cartera_Vencida!F126</f>
        <v>10.358431015232483</v>
      </c>
      <c r="G126" s="82">
        <f>100*B126/[8]Cartera_Bruta!B127</f>
        <v>3.1580809252188091</v>
      </c>
      <c r="H126" s="82">
        <f>100*C126/[8]Cartera_Bruta!C127</f>
        <v>8.0318182159468048</v>
      </c>
      <c r="I126" s="82">
        <f>100*D126/[8]Cartera_Bruta!D127</f>
        <v>9.9854604871140555</v>
      </c>
      <c r="J126" s="82">
        <f>100*E126/[8]Cartera_Bruta!F127</f>
        <v>6.7204969563944088</v>
      </c>
      <c r="K126" s="84">
        <f>+F126*100/[8]Cartera_Bruta!G127</f>
        <v>5.1451523592792388</v>
      </c>
      <c r="L126" s="82"/>
      <c r="M126" s="82"/>
      <c r="N126" s="82"/>
      <c r="O126" s="82"/>
      <c r="P126" s="82"/>
      <c r="Q126" s="83">
        <f>100*(B126+L126)/([8]Cartera_Bruta!B127+'G2.4B'!L126)</f>
        <v>3.1580809252188091</v>
      </c>
      <c r="R126" s="82">
        <f>100*(C126+M126)/([8]Cartera_Bruta!C127+'G2.4B'!M126)</f>
        <v>8.0318182159468048</v>
      </c>
      <c r="S126" s="82">
        <f>100*(D126+N126)/([8]Cartera_Bruta!D127+'G2.4B'!N126)</f>
        <v>9.9854604871140555</v>
      </c>
      <c r="T126" s="82">
        <f>100*(E126+O126)/([8]Cartera_Bruta!F127+'G2.4B'!O126)</f>
        <v>6.7204969563944088</v>
      </c>
      <c r="U126" s="84">
        <f>100*(F126+P126)/([8]Cartera_Bruta!G127+'G2.4B'!P126)</f>
        <v>5.1451523592792388</v>
      </c>
      <c r="V126" s="48" t="str">
        <f t="shared" si="1"/>
        <v>T</v>
      </c>
    </row>
    <row r="127" spans="1:22" x14ac:dyDescent="0.3">
      <c r="A127" s="43">
        <v>39873</v>
      </c>
      <c r="B127" s="83">
        <f>[8]Cartera_Vencida!B127</f>
        <v>3.98698531953199</v>
      </c>
      <c r="C127" s="82">
        <f>[8]Cartera_Vencida!C127</f>
        <v>4.37986717473908</v>
      </c>
      <c r="D127" s="82">
        <f>[8]Cartera_Vencida!D127</f>
        <v>1.66072760632197</v>
      </c>
      <c r="E127" s="82">
        <f>[8]Cartera_Vencida!E127</f>
        <v>0.29199660142068795</v>
      </c>
      <c r="F127" s="84">
        <f>[8]Cartera_Vencida!F127</f>
        <v>10.319576702013729</v>
      </c>
      <c r="G127" s="82">
        <f>100*B127/[8]Cartera_Bruta!B128</f>
        <v>3.206899380080281</v>
      </c>
      <c r="H127" s="82">
        <f>100*C127/[8]Cartera_Bruta!C128</f>
        <v>8.0381924860692173</v>
      </c>
      <c r="I127" s="82">
        <f>100*D127/[8]Cartera_Bruta!D128</f>
        <v>10.100481486384638</v>
      </c>
      <c r="J127" s="82">
        <f>100*E127/[8]Cartera_Bruta!F128</f>
        <v>6.5751928033249163</v>
      </c>
      <c r="K127" s="84">
        <f>+F127*100/[8]Cartera_Bruta!G128</f>
        <v>5.1676329425298722</v>
      </c>
      <c r="L127" s="82"/>
      <c r="M127" s="82"/>
      <c r="N127" s="82"/>
      <c r="O127" s="82"/>
      <c r="P127" s="82"/>
      <c r="Q127" s="83">
        <f>100*(B127+L127)/([8]Cartera_Bruta!B128+'G2.4B'!L127)</f>
        <v>3.206899380080281</v>
      </c>
      <c r="R127" s="82">
        <f>100*(C127+M127)/([8]Cartera_Bruta!C128+'G2.4B'!M127)</f>
        <v>8.0381924860692173</v>
      </c>
      <c r="S127" s="82">
        <f>100*(D127+N127)/([8]Cartera_Bruta!D128+'G2.4B'!N127)</f>
        <v>10.100481486384638</v>
      </c>
      <c r="T127" s="82">
        <f>100*(E127+O127)/([8]Cartera_Bruta!F128+'G2.4B'!O127)</f>
        <v>6.5751928033249163</v>
      </c>
      <c r="U127" s="84">
        <f>100*(F127+P127)/([8]Cartera_Bruta!G128+'G2.4B'!P127)</f>
        <v>5.1676329425298722</v>
      </c>
      <c r="V127" s="48" t="str">
        <f t="shared" si="1"/>
        <v>T</v>
      </c>
    </row>
    <row r="128" spans="1:22" x14ac:dyDescent="0.3">
      <c r="A128" s="43">
        <v>39904</v>
      </c>
      <c r="B128" s="83">
        <f>[8]Cartera_Vencida!B128</f>
        <v>4.1211631018385804</v>
      </c>
      <c r="C128" s="82">
        <f>[8]Cartera_Vencida!C128</f>
        <v>4.4840106290320101</v>
      </c>
      <c r="D128" s="82">
        <f>[8]Cartera_Vencida!D128</f>
        <v>1.75793847192557</v>
      </c>
      <c r="E128" s="82">
        <f>[8]Cartera_Vencida!E128</f>
        <v>0.30096687482110102</v>
      </c>
      <c r="F128" s="84">
        <f>[8]Cartera_Vencida!F128</f>
        <v>10.664079077617261</v>
      </c>
      <c r="G128" s="82">
        <f>100*B128/[8]Cartera_Bruta!B129</f>
        <v>3.3264105435353031</v>
      </c>
      <c r="H128" s="82">
        <f>100*C128/[8]Cartera_Bruta!C129</f>
        <v>8.2861278543302532</v>
      </c>
      <c r="I128" s="82">
        <f>100*D128/[8]Cartera_Bruta!D129</f>
        <v>10.520582863228325</v>
      </c>
      <c r="J128" s="82">
        <f>100*E128/[8]Cartera_Bruta!F129</f>
        <v>6.625342527435814</v>
      </c>
      <c r="K128" s="84">
        <f>+F128*100/[8]Cartera_Bruta!G129</f>
        <v>5.3518670591348698</v>
      </c>
      <c r="L128" s="82"/>
      <c r="M128" s="82"/>
      <c r="N128" s="82"/>
      <c r="O128" s="82"/>
      <c r="P128" s="82"/>
      <c r="Q128" s="83">
        <f>100*(B128+L128)/([8]Cartera_Bruta!B129+'G2.4B'!L128)</f>
        <v>3.3264105435353031</v>
      </c>
      <c r="R128" s="82">
        <f>100*(C128+M128)/([8]Cartera_Bruta!C129+'G2.4B'!M128)</f>
        <v>8.2861278543302532</v>
      </c>
      <c r="S128" s="82">
        <f>100*(D128+N128)/([8]Cartera_Bruta!D129+'G2.4B'!N128)</f>
        <v>10.520582863228325</v>
      </c>
      <c r="T128" s="82">
        <f>100*(E128+O128)/([8]Cartera_Bruta!F129+'G2.4B'!O128)</f>
        <v>6.625342527435814</v>
      </c>
      <c r="U128" s="84">
        <f>100*(F128+P128)/([8]Cartera_Bruta!G129+'G2.4B'!P128)</f>
        <v>5.3518670591348698</v>
      </c>
      <c r="V128" s="48" t="str">
        <f t="shared" si="1"/>
        <v>T</v>
      </c>
    </row>
    <row r="129" spans="1:22" x14ac:dyDescent="0.3">
      <c r="A129" s="43">
        <v>39934</v>
      </c>
      <c r="B129" s="83">
        <f>[8]Cartera_Vencida!B129</f>
        <v>4.2523922895521702</v>
      </c>
      <c r="C129" s="82">
        <f>[8]Cartera_Vencida!C129</f>
        <v>4.49034268399725</v>
      </c>
      <c r="D129" s="82">
        <f>[8]Cartera_Vencida!D129</f>
        <v>1.8329467830252599</v>
      </c>
      <c r="E129" s="82">
        <f>[8]Cartera_Vencida!E129</f>
        <v>0.313276259897667</v>
      </c>
      <c r="F129" s="84">
        <f>[8]Cartera_Vencida!F129</f>
        <v>10.888958016472348</v>
      </c>
      <c r="G129" s="82">
        <f>100*B129/[8]Cartera_Bruta!B130</f>
        <v>3.3490943140716731</v>
      </c>
      <c r="H129" s="82">
        <f>100*C129/[8]Cartera_Bruta!C130</f>
        <v>8.3217469140534792</v>
      </c>
      <c r="I129" s="82">
        <f>100*D129/[8]Cartera_Bruta!D130</f>
        <v>11.157472163982677</v>
      </c>
      <c r="J129" s="82">
        <f>100*E129/[8]Cartera_Bruta!F130</f>
        <v>6.7489347248032505</v>
      </c>
      <c r="K129" s="84">
        <f>+F129*100/[8]Cartera_Bruta!G130</f>
        <v>5.3905630376239939</v>
      </c>
      <c r="L129" s="82"/>
      <c r="M129" s="82"/>
      <c r="N129" s="82"/>
      <c r="O129" s="82"/>
      <c r="P129" s="82"/>
      <c r="Q129" s="83">
        <f>100*(B129+L129)/([8]Cartera_Bruta!B130+'G2.4B'!L129)</f>
        <v>3.3490943140716731</v>
      </c>
      <c r="R129" s="82">
        <f>100*(C129+M129)/([8]Cartera_Bruta!C130+'G2.4B'!M129)</f>
        <v>8.3217469140534792</v>
      </c>
      <c r="S129" s="82">
        <f>100*(D129+N129)/([8]Cartera_Bruta!D130+'G2.4B'!N129)</f>
        <v>11.157472163982677</v>
      </c>
      <c r="T129" s="82">
        <f>100*(E129+O129)/([8]Cartera_Bruta!F130+'G2.4B'!O129)</f>
        <v>6.7489347248032505</v>
      </c>
      <c r="U129" s="84">
        <f>100*(F129+P129)/([8]Cartera_Bruta!G130+'G2.4B'!P129)</f>
        <v>5.3905630376239939</v>
      </c>
      <c r="V129" s="48" t="str">
        <f t="shared" si="1"/>
        <v>T</v>
      </c>
    </row>
    <row r="130" spans="1:22" x14ac:dyDescent="0.3">
      <c r="A130" s="43">
        <v>39965</v>
      </c>
      <c r="B130" s="83">
        <f>[8]Cartera_Vencida!B130</f>
        <v>4.2223965368476204</v>
      </c>
      <c r="C130" s="82">
        <f>[8]Cartera_Vencida!C130</f>
        <v>4.3420384284143294</v>
      </c>
      <c r="D130" s="82">
        <f>[8]Cartera_Vencida!D130</f>
        <v>1.7260190229724499</v>
      </c>
      <c r="E130" s="82">
        <f>[8]Cartera_Vencida!E130</f>
        <v>0.31127853733487704</v>
      </c>
      <c r="F130" s="84">
        <f>[8]Cartera_Vencida!F130</f>
        <v>10.601732525569275</v>
      </c>
      <c r="G130" s="82">
        <f>100*B130/[8]Cartera_Bruta!B131</f>
        <v>3.3230528421058239</v>
      </c>
      <c r="H130" s="82">
        <f>100*C130/[8]Cartera_Bruta!C131</f>
        <v>8.058625842619346</v>
      </c>
      <c r="I130" s="82">
        <f>100*D130/[8]Cartera_Bruta!D131</f>
        <v>10.368806842183192</v>
      </c>
      <c r="J130" s="82">
        <f>100*E130/[8]Cartera_Bruta!F131</f>
        <v>6.5894122136721993</v>
      </c>
      <c r="K130" s="84">
        <f>+F130*100/[8]Cartera_Bruta!G131</f>
        <v>5.2402213268982205</v>
      </c>
      <c r="L130" s="82"/>
      <c r="M130" s="82"/>
      <c r="N130" s="82"/>
      <c r="O130" s="82"/>
      <c r="P130" s="82"/>
      <c r="Q130" s="83">
        <f>100*(B130+L130)/([8]Cartera_Bruta!B131+'G2.4B'!L130)</f>
        <v>3.3230528421058239</v>
      </c>
      <c r="R130" s="82">
        <f>100*(C130+M130)/([8]Cartera_Bruta!C131+'G2.4B'!M130)</f>
        <v>8.058625842619346</v>
      </c>
      <c r="S130" s="82">
        <f>100*(D130+N130)/([8]Cartera_Bruta!D131+'G2.4B'!N130)</f>
        <v>10.368806842183192</v>
      </c>
      <c r="T130" s="82">
        <f>100*(E130+O130)/([8]Cartera_Bruta!F131+'G2.4B'!O130)</f>
        <v>6.5894122136721993</v>
      </c>
      <c r="U130" s="84">
        <f>100*(F130+P130)/([8]Cartera_Bruta!G131+'G2.4B'!P130)</f>
        <v>5.2402213268982205</v>
      </c>
      <c r="V130" s="48" t="str">
        <f t="shared" si="1"/>
        <v>T</v>
      </c>
    </row>
    <row r="131" spans="1:22" x14ac:dyDescent="0.3">
      <c r="A131" s="43">
        <v>39995</v>
      </c>
      <c r="B131" s="83">
        <f>[8]Cartera_Vencida!B131</f>
        <v>4.2355070341057903</v>
      </c>
      <c r="C131" s="82">
        <f>[8]Cartera_Vencida!C131</f>
        <v>4.1004066464623197</v>
      </c>
      <c r="D131" s="82">
        <f>[8]Cartera_Vencida!D131</f>
        <v>1.66897514571634</v>
      </c>
      <c r="E131" s="82">
        <f>[8]Cartera_Vencida!E131</f>
        <v>0.297808198184142</v>
      </c>
      <c r="F131" s="84">
        <f>[8]Cartera_Vencida!F131</f>
        <v>10.302697024468593</v>
      </c>
      <c r="G131" s="82">
        <f>100*B131/[8]Cartera_Bruta!B132</f>
        <v>3.3612881916350958</v>
      </c>
      <c r="H131" s="82">
        <f>100*C131/[8]Cartera_Bruta!C132</f>
        <v>7.6058745895380593</v>
      </c>
      <c r="I131" s="82">
        <f>100*D131/[8]Cartera_Bruta!D132</f>
        <v>9.8080963545822328</v>
      </c>
      <c r="J131" s="82">
        <f>100*E131/[8]Cartera_Bruta!F132</f>
        <v>6.186476162874925</v>
      </c>
      <c r="K131" s="84">
        <f>+F131*100/[8]Cartera_Bruta!G132</f>
        <v>5.1066739844939919</v>
      </c>
      <c r="L131" s="82"/>
      <c r="M131" s="82"/>
      <c r="N131" s="82"/>
      <c r="O131" s="82"/>
      <c r="P131" s="82"/>
      <c r="Q131" s="83">
        <f>100*(B131+L131)/([8]Cartera_Bruta!B132+'G2.4B'!L131)</f>
        <v>3.3612881916350958</v>
      </c>
      <c r="R131" s="82">
        <f>100*(C131+M131)/([8]Cartera_Bruta!C132+'G2.4B'!M131)</f>
        <v>7.6058745895380593</v>
      </c>
      <c r="S131" s="82">
        <f>100*(D131+N131)/([8]Cartera_Bruta!D132+'G2.4B'!N131)</f>
        <v>9.8080963545822328</v>
      </c>
      <c r="T131" s="82">
        <f>100*(E131+O131)/([8]Cartera_Bruta!F132+'G2.4B'!O131)</f>
        <v>6.186476162874925</v>
      </c>
      <c r="U131" s="84">
        <f>100*(F131+P131)/([8]Cartera_Bruta!G132+'G2.4B'!P131)</f>
        <v>5.1066739844939919</v>
      </c>
      <c r="V131" s="48" t="str">
        <f t="shared" si="1"/>
        <v>T</v>
      </c>
    </row>
    <row r="132" spans="1:22" x14ac:dyDescent="0.3">
      <c r="A132" s="43">
        <v>40026</v>
      </c>
      <c r="B132" s="83">
        <f>[8]Cartera_Vencida!B132</f>
        <v>4.3820491747230506</v>
      </c>
      <c r="C132" s="82">
        <f>[8]Cartera_Vencida!C132</f>
        <v>4.22149524346597</v>
      </c>
      <c r="D132" s="82">
        <f>[8]Cartera_Vencida!D132</f>
        <v>1.7283139069440001</v>
      </c>
      <c r="E132" s="82">
        <f>[8]Cartera_Vencida!E132</f>
        <v>0.31460553211425296</v>
      </c>
      <c r="F132" s="84">
        <f>[8]Cartera_Vencida!F132</f>
        <v>10.646463857247275</v>
      </c>
      <c r="G132" s="82">
        <f>100*B132/[8]Cartera_Bruta!B133</f>
        <v>3.5486381087430647</v>
      </c>
      <c r="H132" s="82">
        <f>100*C132/[8]Cartera_Bruta!C133</f>
        <v>7.8131390909632215</v>
      </c>
      <c r="I132" s="82">
        <f>100*D132/[8]Cartera_Bruta!D133</f>
        <v>10.252619430584112</v>
      </c>
      <c r="J132" s="82">
        <f>100*E132/[8]Cartera_Bruta!F133</f>
        <v>6.4133874415581555</v>
      </c>
      <c r="K132" s="84">
        <f>+F132*100/[8]Cartera_Bruta!G133</f>
        <v>5.3424959430091334</v>
      </c>
      <c r="L132" s="82"/>
      <c r="M132" s="82"/>
      <c r="N132" s="82"/>
      <c r="O132" s="82"/>
      <c r="P132" s="82"/>
      <c r="Q132" s="83">
        <f>100*(B132+L132)/([8]Cartera_Bruta!B133+'G2.4B'!L132)</f>
        <v>3.5486381087430647</v>
      </c>
      <c r="R132" s="82">
        <f>100*(C132+M132)/([8]Cartera_Bruta!C133+'G2.4B'!M132)</f>
        <v>7.8131390909632215</v>
      </c>
      <c r="S132" s="82">
        <f>100*(D132+N132)/([8]Cartera_Bruta!D133+'G2.4B'!N132)</f>
        <v>10.252619430584112</v>
      </c>
      <c r="T132" s="82">
        <f>100*(E132+O132)/([8]Cartera_Bruta!F133+'G2.4B'!O132)</f>
        <v>6.4133874415581555</v>
      </c>
      <c r="U132" s="84">
        <f>100*(F132+P132)/([8]Cartera_Bruta!G133+'G2.4B'!P132)</f>
        <v>5.3424959430091334</v>
      </c>
      <c r="V132" s="48" t="str">
        <f t="shared" si="1"/>
        <v>T</v>
      </c>
    </row>
    <row r="133" spans="1:22" x14ac:dyDescent="0.3">
      <c r="A133" s="43">
        <v>40057</v>
      </c>
      <c r="B133" s="83">
        <f>[8]Cartera_Vencida!B133</f>
        <v>4.1757408886272005</v>
      </c>
      <c r="C133" s="82">
        <f>[8]Cartera_Vencida!C133</f>
        <v>4.0141687438151594</v>
      </c>
      <c r="D133" s="82">
        <f>[8]Cartera_Vencida!D133</f>
        <v>1.6670746891575898</v>
      </c>
      <c r="E133" s="82">
        <f>[8]Cartera_Vencida!E133</f>
        <v>0.31104636236985805</v>
      </c>
      <c r="F133" s="84">
        <f>[8]Cartera_Vencida!F133</f>
        <v>10.168030683969807</v>
      </c>
      <c r="G133" s="82">
        <f>100*B133/[8]Cartera_Bruta!B134</f>
        <v>3.4001114254623697</v>
      </c>
      <c r="H133" s="82">
        <f>100*C133/[8]Cartera_Bruta!C134</f>
        <v>7.4111467581268098</v>
      </c>
      <c r="I133" s="82">
        <f>100*D133/[8]Cartera_Bruta!D134</f>
        <v>9.6179828427368577</v>
      </c>
      <c r="J133" s="82">
        <f>100*E133/[8]Cartera_Bruta!F134</f>
        <v>6.2290637223654892</v>
      </c>
      <c r="K133" s="84">
        <f>+F133*100/[8]Cartera_Bruta!G134</f>
        <v>5.1018160582215808</v>
      </c>
      <c r="L133" s="82"/>
      <c r="M133" s="82"/>
      <c r="N133" s="82"/>
      <c r="O133" s="82"/>
      <c r="P133" s="82"/>
      <c r="Q133" s="83">
        <f>100*(B133+L133)/([8]Cartera_Bruta!B134+'G2.4B'!L133)</f>
        <v>3.4001114254623697</v>
      </c>
      <c r="R133" s="82">
        <f>100*(C133+M133)/([8]Cartera_Bruta!C134+'G2.4B'!M133)</f>
        <v>7.4111467581268098</v>
      </c>
      <c r="S133" s="82">
        <f>100*(D133+N133)/([8]Cartera_Bruta!D134+'G2.4B'!N133)</f>
        <v>9.6179828427368577</v>
      </c>
      <c r="T133" s="82">
        <f>100*(E133+O133)/([8]Cartera_Bruta!F134+'G2.4B'!O133)</f>
        <v>6.2290637223654892</v>
      </c>
      <c r="U133" s="84">
        <f>100*(F133+P133)/([8]Cartera_Bruta!G134+'G2.4B'!P133)</f>
        <v>5.1018160582215808</v>
      </c>
      <c r="V133" s="48" t="str">
        <f t="shared" ref="V133:V196" si="2">+IF(K133&gt;=5,"T","F")</f>
        <v>T</v>
      </c>
    </row>
    <row r="134" spans="1:22" x14ac:dyDescent="0.3">
      <c r="A134" s="43">
        <v>40087</v>
      </c>
      <c r="B134" s="83">
        <f>[8]Cartera_Vencida!B134</f>
        <v>4.2174076977761503</v>
      </c>
      <c r="C134" s="82">
        <f>[8]Cartera_Vencida!C134</f>
        <v>4.0546035124489004</v>
      </c>
      <c r="D134" s="82">
        <f>[8]Cartera_Vencida!D134</f>
        <v>1.7119364173109199</v>
      </c>
      <c r="E134" s="82">
        <f>[8]Cartera_Vencida!E134</f>
        <v>0.32048902453759903</v>
      </c>
      <c r="F134" s="84">
        <f>[8]Cartera_Vencida!F134</f>
        <v>10.304436652073569</v>
      </c>
      <c r="G134" s="82">
        <f>100*B134/[8]Cartera_Bruta!B135</f>
        <v>3.4293754415892623</v>
      </c>
      <c r="H134" s="82">
        <f>100*C134/[8]Cartera_Bruta!C135</f>
        <v>7.4343184728580507</v>
      </c>
      <c r="I134" s="82">
        <f>100*D134/[8]Cartera_Bruta!D135</f>
        <v>9.6033395482236514</v>
      </c>
      <c r="J134" s="82">
        <f>100*E134/[8]Cartera_Bruta!F135</f>
        <v>6.2902470469771181</v>
      </c>
      <c r="K134" s="84">
        <f>+F134*100/[8]Cartera_Bruta!G135</f>
        <v>5.1409242892722133</v>
      </c>
      <c r="L134" s="82"/>
      <c r="M134" s="82"/>
      <c r="N134" s="82"/>
      <c r="O134" s="82"/>
      <c r="P134" s="82"/>
      <c r="Q134" s="83">
        <f>100*(B134+L134)/([8]Cartera_Bruta!B135+'G2.4B'!L134)</f>
        <v>3.4293754415892623</v>
      </c>
      <c r="R134" s="82">
        <f>100*(C134+M134)/([8]Cartera_Bruta!C135+'G2.4B'!M134)</f>
        <v>7.4343184728580507</v>
      </c>
      <c r="S134" s="82">
        <f>100*(D134+N134)/([8]Cartera_Bruta!D135+'G2.4B'!N134)</f>
        <v>9.6033395482236514</v>
      </c>
      <c r="T134" s="82">
        <f>100*(E134+O134)/([8]Cartera_Bruta!F135+'G2.4B'!O134)</f>
        <v>6.2902470469771181</v>
      </c>
      <c r="U134" s="84">
        <f>100*(F134+P134)/([8]Cartera_Bruta!G135+'G2.4B'!P134)</f>
        <v>5.1409242892722133</v>
      </c>
      <c r="V134" s="48" t="str">
        <f t="shared" si="2"/>
        <v>T</v>
      </c>
    </row>
    <row r="135" spans="1:22" x14ac:dyDescent="0.3">
      <c r="A135" s="43">
        <v>40118</v>
      </c>
      <c r="B135" s="83">
        <f>[8]Cartera_Vencida!B135</f>
        <v>4.3640781461766593</v>
      </c>
      <c r="C135" s="82">
        <f>[8]Cartera_Vencida!C135</f>
        <v>4.0876268062622998</v>
      </c>
      <c r="D135" s="82">
        <f>[8]Cartera_Vencida!D135</f>
        <v>1.7312276199554502</v>
      </c>
      <c r="E135" s="82">
        <f>[8]Cartera_Vencida!E135</f>
        <v>0.31676443235248702</v>
      </c>
      <c r="F135" s="84">
        <f>[8]Cartera_Vencida!F135</f>
        <v>10.499697004746897</v>
      </c>
      <c r="G135" s="82">
        <f>100*B135/[8]Cartera_Bruta!B136</f>
        <v>3.559931083911219</v>
      </c>
      <c r="H135" s="82">
        <f>100*C135/[8]Cartera_Bruta!C136</f>
        <v>7.3744328549668658</v>
      </c>
      <c r="I135" s="82">
        <f>100*D135/[8]Cartera_Bruta!D136</f>
        <v>9.4820732042237381</v>
      </c>
      <c r="J135" s="82">
        <f>100*E135/[8]Cartera_Bruta!F136</f>
        <v>6.1826304054661314</v>
      </c>
      <c r="K135" s="84">
        <f>+F135*100/[8]Cartera_Bruta!G136</f>
        <v>5.2133574000361103</v>
      </c>
      <c r="L135" s="82"/>
      <c r="M135" s="82"/>
      <c r="N135" s="82"/>
      <c r="O135" s="82"/>
      <c r="P135" s="82"/>
      <c r="Q135" s="83">
        <f>100*(B135+L135)/([8]Cartera_Bruta!B136+'G2.4B'!L135)</f>
        <v>3.559931083911219</v>
      </c>
      <c r="R135" s="82">
        <f>100*(C135+M135)/([8]Cartera_Bruta!C136+'G2.4B'!M135)</f>
        <v>7.3744328549668658</v>
      </c>
      <c r="S135" s="82">
        <f>100*(D135+N135)/([8]Cartera_Bruta!D136+'G2.4B'!N135)</f>
        <v>9.4820732042237381</v>
      </c>
      <c r="T135" s="82">
        <f>100*(E135+O135)/([8]Cartera_Bruta!F136+'G2.4B'!O135)</f>
        <v>6.1826304054661314</v>
      </c>
      <c r="U135" s="84">
        <f>100*(F135+P135)/([8]Cartera_Bruta!G136+'G2.4B'!P135)</f>
        <v>5.2133574000361103</v>
      </c>
      <c r="V135" s="48" t="str">
        <f t="shared" si="2"/>
        <v>T</v>
      </c>
    </row>
    <row r="136" spans="1:22" x14ac:dyDescent="0.3">
      <c r="A136" s="43">
        <f t="shared" ref="A136:A199" si="3">+DATE(YEAR(A135),MONTH(A135)+1,1)</f>
        <v>40148</v>
      </c>
      <c r="B136" s="83">
        <f>[8]Cartera_Vencida!B136</f>
        <v>3.8977702831726897</v>
      </c>
      <c r="C136" s="82">
        <f>[8]Cartera_Vencida!C136</f>
        <v>3.60228803400154</v>
      </c>
      <c r="D136" s="82">
        <f>[8]Cartera_Vencida!D136</f>
        <v>1.48448439186074</v>
      </c>
      <c r="E136" s="82">
        <f>[8]Cartera_Vencida!E136</f>
        <v>0.29504919614295999</v>
      </c>
      <c r="F136" s="84">
        <f>[8]Cartera_Vencida!F136</f>
        <v>9.279591905177929</v>
      </c>
      <c r="G136" s="82">
        <f>100*B136/[8]Cartera_Bruta!B137</f>
        <v>3.1633737404644733</v>
      </c>
      <c r="H136" s="82">
        <f>100*C136/[8]Cartera_Bruta!C137</f>
        <v>6.4745276665132758</v>
      </c>
      <c r="I136" s="82">
        <f>100*D136/[8]Cartera_Bruta!D137</f>
        <v>8.0837335984796059</v>
      </c>
      <c r="J136" s="82">
        <f>100*E136/[8]Cartera_Bruta!F137</f>
        <v>5.7445698759610311</v>
      </c>
      <c r="K136" s="84">
        <f>+F136*100/[8]Cartera_Bruta!G137</f>
        <v>4.5858333397022939</v>
      </c>
      <c r="L136" s="82"/>
      <c r="M136" s="82"/>
      <c r="N136" s="82"/>
      <c r="O136" s="82"/>
      <c r="P136" s="82"/>
      <c r="Q136" s="83">
        <f>100*(B136+L136)/([8]Cartera_Bruta!B137+'G2.4B'!L136)</f>
        <v>3.1633737404644733</v>
      </c>
      <c r="R136" s="82">
        <f>100*(C136+M136)/([8]Cartera_Bruta!C137+'G2.4B'!M136)</f>
        <v>6.4745276665132758</v>
      </c>
      <c r="S136" s="82">
        <f>100*(D136+N136)/([8]Cartera_Bruta!D137+'G2.4B'!N136)</f>
        <v>8.0837335984796059</v>
      </c>
      <c r="T136" s="82">
        <f>100*(E136+O136)/([8]Cartera_Bruta!F137+'G2.4B'!O136)</f>
        <v>5.7445698759610311</v>
      </c>
      <c r="U136" s="84">
        <f>100*(F136+P136)/([8]Cartera_Bruta!G137+'G2.4B'!P136)</f>
        <v>4.5858333397022939</v>
      </c>
      <c r="V136" s="48" t="str">
        <f t="shared" si="2"/>
        <v>F</v>
      </c>
    </row>
    <row r="137" spans="1:22" x14ac:dyDescent="0.3">
      <c r="A137" s="43">
        <f t="shared" si="3"/>
        <v>40179</v>
      </c>
      <c r="B137" s="83">
        <f>[8]Cartera_Vencida!B137</f>
        <v>4.1752187592128198</v>
      </c>
      <c r="C137" s="82">
        <f>[8]Cartera_Vencida!C137</f>
        <v>3.7377529345529097</v>
      </c>
      <c r="D137" s="82">
        <f>[8]Cartera_Vencida!D137</f>
        <v>1.5521792741317402</v>
      </c>
      <c r="E137" s="82">
        <f>[8]Cartera_Vencida!E137</f>
        <v>0.303754122197466</v>
      </c>
      <c r="F137" s="84">
        <f>[8]Cartera_Vencida!F137</f>
        <v>9.7689050900949361</v>
      </c>
      <c r="G137" s="82">
        <f>100*B137/[8]Cartera_Bruta!B138</f>
        <v>3.4286359439711589</v>
      </c>
      <c r="H137" s="82">
        <f>100*C137/[8]Cartera_Bruta!C138</f>
        <v>6.732385856864834</v>
      </c>
      <c r="I137" s="82">
        <f>100*D137/[8]Cartera_Bruta!D138</f>
        <v>8.3444237679827022</v>
      </c>
      <c r="J137" s="82">
        <f>100*E137/[8]Cartera_Bruta!F138</f>
        <v>5.9401833451112251</v>
      </c>
      <c r="K137" s="84">
        <f>+F137*100/[8]Cartera_Bruta!G138</f>
        <v>4.8599375524701518</v>
      </c>
      <c r="L137" s="82"/>
      <c r="M137" s="82"/>
      <c r="N137" s="82"/>
      <c r="O137" s="82"/>
      <c r="P137" s="82"/>
      <c r="Q137" s="83">
        <f>100*(B137+L137)/([8]Cartera_Bruta!B138+'G2.4B'!L137)</f>
        <v>3.4286359439711589</v>
      </c>
      <c r="R137" s="82">
        <f>100*(C137+M137)/([8]Cartera_Bruta!C138+'G2.4B'!M137)</f>
        <v>6.732385856864834</v>
      </c>
      <c r="S137" s="82">
        <f>100*(D137+N137)/([8]Cartera_Bruta!D138+'G2.4B'!N137)</f>
        <v>8.3444237679827022</v>
      </c>
      <c r="T137" s="82">
        <f>100*(E137+O137)/([8]Cartera_Bruta!F138+'G2.4B'!O137)</f>
        <v>5.9401833451112251</v>
      </c>
      <c r="U137" s="84">
        <f>100*(F137+P137)/([8]Cartera_Bruta!G138+'G2.4B'!P137)</f>
        <v>4.8599375524701518</v>
      </c>
      <c r="V137" s="48" t="str">
        <f t="shared" si="2"/>
        <v>F</v>
      </c>
    </row>
    <row r="138" spans="1:22" x14ac:dyDescent="0.3">
      <c r="A138" s="43">
        <f t="shared" si="3"/>
        <v>40210</v>
      </c>
      <c r="B138" s="83">
        <f>[8]Cartera_Vencida!B138</f>
        <v>4.2518778437465201</v>
      </c>
      <c r="C138" s="82">
        <f>[8]Cartera_Vencida!C138</f>
        <v>3.8446665537815199</v>
      </c>
      <c r="D138" s="82">
        <f>[8]Cartera_Vencida!D138</f>
        <v>1.5809805912999</v>
      </c>
      <c r="E138" s="82">
        <f>[8]Cartera_Vencida!E138</f>
        <v>0.31775130399722396</v>
      </c>
      <c r="F138" s="84">
        <f>[8]Cartera_Vencida!F138</f>
        <v>9.9952762928251637</v>
      </c>
      <c r="G138" s="82">
        <f>100*B138/[8]Cartera_Bruta!B139</f>
        <v>3.4914188216115538</v>
      </c>
      <c r="H138" s="82">
        <f>100*C138/[8]Cartera_Bruta!C139</f>
        <v>6.9322394919581924</v>
      </c>
      <c r="I138" s="82">
        <f>100*D138/[8]Cartera_Bruta!D139</f>
        <v>8.4665534587369038</v>
      </c>
      <c r="J138" s="82">
        <f>100*E138/[8]Cartera_Bruta!F139</f>
        <v>6.2283289670230264</v>
      </c>
      <c r="K138" s="84">
        <f>+F138*100/[8]Cartera_Bruta!G139</f>
        <v>4.9723677672142843</v>
      </c>
      <c r="L138" s="82"/>
      <c r="M138" s="82"/>
      <c r="N138" s="82"/>
      <c r="O138" s="82"/>
      <c r="P138" s="82"/>
      <c r="Q138" s="83">
        <f>100*(B138+L138)/([8]Cartera_Bruta!B139+'G2.4B'!L138)</f>
        <v>3.4914188216115538</v>
      </c>
      <c r="R138" s="82">
        <f>100*(C138+M138)/([8]Cartera_Bruta!C139+'G2.4B'!M138)</f>
        <v>6.9322394919581924</v>
      </c>
      <c r="S138" s="82">
        <f>100*(D138+N138)/([8]Cartera_Bruta!D139+'G2.4B'!N138)</f>
        <v>8.4665534587369038</v>
      </c>
      <c r="T138" s="82">
        <f>100*(E138+O138)/([8]Cartera_Bruta!F139+'G2.4B'!O138)</f>
        <v>6.2283289670230264</v>
      </c>
      <c r="U138" s="84">
        <f>100*(F138+P138)/([8]Cartera_Bruta!G139+'G2.4B'!P138)</f>
        <v>4.9723677672142843</v>
      </c>
      <c r="V138" s="48" t="str">
        <f t="shared" si="2"/>
        <v>F</v>
      </c>
    </row>
    <row r="139" spans="1:22" x14ac:dyDescent="0.3">
      <c r="A139" s="43">
        <f t="shared" si="3"/>
        <v>40238</v>
      </c>
      <c r="B139" s="83">
        <f>[8]Cartera_Vencida!B139</f>
        <v>4.3227651493370303</v>
      </c>
      <c r="C139" s="82">
        <f>[8]Cartera_Vencida!C139</f>
        <v>3.7161581626585303</v>
      </c>
      <c r="D139" s="82">
        <f>[8]Cartera_Vencida!D139</f>
        <v>1.4747110658623199</v>
      </c>
      <c r="E139" s="82">
        <f>[8]Cartera_Vencida!E139</f>
        <v>0.30943131354194997</v>
      </c>
      <c r="F139" s="84">
        <f>[8]Cartera_Vencida!F139</f>
        <v>9.8230656913998295</v>
      </c>
      <c r="G139" s="82">
        <f>100*B139/[8]Cartera_Bruta!B140</f>
        <v>3.5454085386790775</v>
      </c>
      <c r="H139" s="82">
        <f>100*C139/[8]Cartera_Bruta!C140</f>
        <v>6.6802209408538955</v>
      </c>
      <c r="I139" s="82">
        <f>100*D139/[8]Cartera_Bruta!D140</f>
        <v>7.6917097663960181</v>
      </c>
      <c r="J139" s="82">
        <f>100*E139/[8]Cartera_Bruta!F140</f>
        <v>6.0901542048989663</v>
      </c>
      <c r="K139" s="84">
        <f>+F139*100/[8]Cartera_Bruta!G140</f>
        <v>4.8675164512988678</v>
      </c>
      <c r="L139" s="82"/>
      <c r="M139" s="82"/>
      <c r="N139" s="82"/>
      <c r="O139" s="82"/>
      <c r="P139" s="82"/>
      <c r="Q139" s="83">
        <f>100*(B139+L139)/([8]Cartera_Bruta!B140+'G2.4B'!L139)</f>
        <v>3.5454085386790775</v>
      </c>
      <c r="R139" s="82">
        <f>100*(C139+M139)/([8]Cartera_Bruta!C140+'G2.4B'!M139)</f>
        <v>6.6802209408538955</v>
      </c>
      <c r="S139" s="82">
        <f>100*(D139+N139)/([8]Cartera_Bruta!D140+'G2.4B'!N139)</f>
        <v>7.6917097663960181</v>
      </c>
      <c r="T139" s="82">
        <f>100*(E139+O139)/([8]Cartera_Bruta!F140+'G2.4B'!O139)</f>
        <v>6.0901542048989663</v>
      </c>
      <c r="U139" s="84">
        <f>100*(F139+P139)/([8]Cartera_Bruta!G140+'G2.4B'!P139)</f>
        <v>4.8675164512988678</v>
      </c>
      <c r="V139" s="48" t="str">
        <f t="shared" si="2"/>
        <v>F</v>
      </c>
    </row>
    <row r="140" spans="1:22" x14ac:dyDescent="0.3">
      <c r="A140" s="43">
        <f t="shared" si="3"/>
        <v>40269</v>
      </c>
      <c r="B140" s="83">
        <f>[8]Cartera_Vencida!B140</f>
        <v>4.4214461758202299</v>
      </c>
      <c r="C140" s="82">
        <f>[8]Cartera_Vencida!C140</f>
        <v>3.6869780922250701</v>
      </c>
      <c r="D140" s="82">
        <f>[8]Cartera_Vencida!D140</f>
        <v>1.6486216574542201</v>
      </c>
      <c r="E140" s="82">
        <f>[8]Cartera_Vencida!E140</f>
        <v>0.31177322478210001</v>
      </c>
      <c r="F140" s="84">
        <f>[8]Cartera_Vencida!F140</f>
        <v>10.06881915028162</v>
      </c>
      <c r="G140" s="82">
        <f>100*B140/[8]Cartera_Bruta!B141</f>
        <v>3.6076809658720519</v>
      </c>
      <c r="H140" s="82">
        <f>100*C140/[8]Cartera_Bruta!C141</f>
        <v>6.5962675608982106</v>
      </c>
      <c r="I140" s="82">
        <f>100*D140/[8]Cartera_Bruta!D141</f>
        <v>8.692665894514878</v>
      </c>
      <c r="J140" s="82">
        <f>100*E140/[8]Cartera_Bruta!F141</f>
        <v>6.1161240223595499</v>
      </c>
      <c r="K140" s="86">
        <f>+F140*100/[8]Cartera_Bruta!G141</f>
        <v>4.9718978707960826</v>
      </c>
      <c r="L140" s="82"/>
      <c r="M140" s="82"/>
      <c r="N140" s="82"/>
      <c r="O140" s="82"/>
      <c r="P140" s="82"/>
      <c r="Q140" s="83">
        <f>100*(B140+L140)/([8]Cartera_Bruta!B141+'G2.4B'!L140)</f>
        <v>3.6076809658720519</v>
      </c>
      <c r="R140" s="82">
        <f>100*(C140+M140)/([8]Cartera_Bruta!C141+'G2.4B'!M140)</f>
        <v>6.5962675608982106</v>
      </c>
      <c r="S140" s="82">
        <f>100*(D140+N140)/([8]Cartera_Bruta!D141+'G2.4B'!N140)</f>
        <v>8.692665894514878</v>
      </c>
      <c r="T140" s="82">
        <f>100*(E140+O140)/([8]Cartera_Bruta!F141+'G2.4B'!O140)</f>
        <v>6.1161240223595499</v>
      </c>
      <c r="U140" s="84">
        <f>100*(F140+P140)/([8]Cartera_Bruta!G141+'G2.4B'!P140)</f>
        <v>4.9718978707960826</v>
      </c>
      <c r="V140" s="48" t="str">
        <f t="shared" si="2"/>
        <v>F</v>
      </c>
    </row>
    <row r="141" spans="1:22" x14ac:dyDescent="0.3">
      <c r="A141" s="43">
        <f t="shared" si="3"/>
        <v>40299</v>
      </c>
      <c r="B141" s="83">
        <f>[8]Cartera_Vencida!B141</f>
        <v>4.2127136614120104</v>
      </c>
      <c r="C141" s="82">
        <f>[8]Cartera_Vencida!C141</f>
        <v>3.6090392331958498</v>
      </c>
      <c r="D141" s="82">
        <f>[8]Cartera_Vencida!D141</f>
        <v>1.6455547881576</v>
      </c>
      <c r="E141" s="82">
        <f>[8]Cartera_Vencida!E141</f>
        <v>0.30242593239821497</v>
      </c>
      <c r="F141" s="84">
        <f>[8]Cartera_Vencida!F141</f>
        <v>9.7697336151636751</v>
      </c>
      <c r="G141" s="82">
        <f>100*B141/[8]Cartera_Bruta!B142</f>
        <v>3.3994122275074874</v>
      </c>
      <c r="H141" s="82">
        <f>100*C141/[8]Cartera_Bruta!C142</f>
        <v>6.3835890356102603</v>
      </c>
      <c r="I141" s="82">
        <f>100*D141/[8]Cartera_Bruta!D142</f>
        <v>8.4620724942651204</v>
      </c>
      <c r="J141" s="82">
        <f>100*E141/[8]Cartera_Bruta!F142</f>
        <v>5.9154878466851919</v>
      </c>
      <c r="K141" s="84">
        <f>+F141*100/[8]Cartera_Bruta!G142</f>
        <v>4.7652667962197537</v>
      </c>
      <c r="L141" s="82"/>
      <c r="M141" s="82"/>
      <c r="N141" s="82"/>
      <c r="O141" s="82"/>
      <c r="P141" s="82"/>
      <c r="Q141" s="83">
        <f>100*(B141+L141)/([8]Cartera_Bruta!B142+'G2.4B'!L141)</f>
        <v>3.3994122275074874</v>
      </c>
      <c r="R141" s="82">
        <f>100*(C141+M141)/([8]Cartera_Bruta!C142+'G2.4B'!M141)</f>
        <v>6.3835890356102603</v>
      </c>
      <c r="S141" s="82">
        <f>100*(D141+N141)/([8]Cartera_Bruta!D142+'G2.4B'!N141)</f>
        <v>8.4620724942651204</v>
      </c>
      <c r="T141" s="82">
        <f>100*(E141+O141)/([8]Cartera_Bruta!F142+'G2.4B'!O141)</f>
        <v>5.9154878466851919</v>
      </c>
      <c r="U141" s="84">
        <f>100*(F141+P141)/([8]Cartera_Bruta!G142+'G2.4B'!P141)</f>
        <v>4.7652667962197537</v>
      </c>
      <c r="V141" s="48" t="str">
        <f t="shared" si="2"/>
        <v>F</v>
      </c>
    </row>
    <row r="142" spans="1:22" x14ac:dyDescent="0.3">
      <c r="A142" s="43">
        <f t="shared" si="3"/>
        <v>40330</v>
      </c>
      <c r="B142" s="83">
        <f>[8]Cartera_Vencida!B142</f>
        <v>3.8911878480570596</v>
      </c>
      <c r="C142" s="82">
        <f>[8]Cartera_Vencida!C142</f>
        <v>3.4352007672304801</v>
      </c>
      <c r="D142" s="82">
        <f>[8]Cartera_Vencida!D142</f>
        <v>1.5470001178249</v>
      </c>
      <c r="E142" s="82">
        <f>[8]Cartera_Vencida!E142</f>
        <v>0.29899261501882701</v>
      </c>
      <c r="F142" s="84">
        <f>[8]Cartera_Vencida!F142</f>
        <v>9.1723813481312675</v>
      </c>
      <c r="G142" s="82">
        <f>100*B142/[8]Cartera_Bruta!B143</f>
        <v>3.0899993569832289</v>
      </c>
      <c r="H142" s="82">
        <f>100*C142/[8]Cartera_Bruta!C143</f>
        <v>6.0206690656881561</v>
      </c>
      <c r="I142" s="82">
        <f>100*D142/[8]Cartera_Bruta!D143</f>
        <v>7.7740287186637209</v>
      </c>
      <c r="J142" s="82">
        <f>100*E142/[8]Cartera_Bruta!F143</f>
        <v>5.8055792778216295</v>
      </c>
      <c r="K142" s="84">
        <f>+F142*100/[8]Cartera_Bruta!G143</f>
        <v>4.4090586303208958</v>
      </c>
      <c r="L142" s="82"/>
      <c r="M142" s="82"/>
      <c r="N142" s="82"/>
      <c r="O142" s="82"/>
      <c r="P142" s="82"/>
      <c r="Q142" s="83">
        <f>100*(B142+L142)/([8]Cartera_Bruta!B143+'G2.4B'!L142)</f>
        <v>3.0899993569832289</v>
      </c>
      <c r="R142" s="82">
        <f>100*(C142+M142)/([8]Cartera_Bruta!C143+'G2.4B'!M142)</f>
        <v>6.0206690656881561</v>
      </c>
      <c r="S142" s="82">
        <f>100*(D142+N142)/([8]Cartera_Bruta!D143+'G2.4B'!N142)</f>
        <v>7.7740287186637209</v>
      </c>
      <c r="T142" s="82">
        <f>100*(E142+O142)/([8]Cartera_Bruta!F143+'G2.4B'!O142)</f>
        <v>5.8055792778216295</v>
      </c>
      <c r="U142" s="84">
        <f>100*(F142+P142)/([8]Cartera_Bruta!G143+'G2.4B'!P142)</f>
        <v>4.4090586303208958</v>
      </c>
      <c r="V142" s="48" t="str">
        <f t="shared" si="2"/>
        <v>F</v>
      </c>
    </row>
    <row r="143" spans="1:22" x14ac:dyDescent="0.3">
      <c r="A143" s="43">
        <f t="shared" si="3"/>
        <v>40360</v>
      </c>
      <c r="B143" s="83">
        <f>[8]Cartera_Vencida!B143</f>
        <v>4.0205614242674397</v>
      </c>
      <c r="C143" s="82">
        <f>[8]Cartera_Vencida!C143</f>
        <v>3.4288707667112699</v>
      </c>
      <c r="D143" s="82">
        <f>[8]Cartera_Vencida!D143</f>
        <v>1.5849672932616601</v>
      </c>
      <c r="E143" s="82">
        <f>[8]Cartera_Vencida!E143</f>
        <v>0.29833216655911399</v>
      </c>
      <c r="F143" s="84">
        <f>[8]Cartera_Vencida!F143</f>
        <v>9.3327316507994844</v>
      </c>
      <c r="G143" s="82">
        <f>100*B143/[8]Cartera_Bruta!B144</f>
        <v>3.1662425700904504</v>
      </c>
      <c r="H143" s="82">
        <f>100*C143/[8]Cartera_Bruta!C144</f>
        <v>5.9338455925568523</v>
      </c>
      <c r="I143" s="82">
        <f>100*D143/[8]Cartera_Bruta!D144</f>
        <v>8.073098733776078</v>
      </c>
      <c r="J143" s="82">
        <f>100*E143/[8]Cartera_Bruta!F144</f>
        <v>5.7572570147361226</v>
      </c>
      <c r="K143" s="84">
        <f>+F143*100/[8]Cartera_Bruta!G144</f>
        <v>4.4530296878909814</v>
      </c>
      <c r="L143" s="82"/>
      <c r="M143" s="82"/>
      <c r="N143" s="82"/>
      <c r="O143" s="82"/>
      <c r="P143" s="82"/>
      <c r="Q143" s="83">
        <f>100*(B143+L143)/([8]Cartera_Bruta!B144+'G2.4B'!L143)</f>
        <v>3.1662425700904504</v>
      </c>
      <c r="R143" s="82">
        <f>100*(C143+M143)/([8]Cartera_Bruta!C144+'G2.4B'!M143)</f>
        <v>5.9338455925568523</v>
      </c>
      <c r="S143" s="82">
        <f>100*(D143+N143)/([8]Cartera_Bruta!D144+'G2.4B'!N143)</f>
        <v>8.073098733776078</v>
      </c>
      <c r="T143" s="82">
        <f>100*(E143+O143)/([8]Cartera_Bruta!F144+'G2.4B'!O143)</f>
        <v>5.7572570147361226</v>
      </c>
      <c r="U143" s="84">
        <f>100*(F143+P143)/([8]Cartera_Bruta!G144+'G2.4B'!P143)</f>
        <v>4.4530296878909814</v>
      </c>
      <c r="V143" s="48" t="str">
        <f t="shared" si="2"/>
        <v>F</v>
      </c>
    </row>
    <row r="144" spans="1:22" x14ac:dyDescent="0.3">
      <c r="A144" s="43">
        <f t="shared" si="3"/>
        <v>40391</v>
      </c>
      <c r="B144" s="83">
        <f>[8]Cartera_Vencida!B144</f>
        <v>3.9254387599445901</v>
      </c>
      <c r="C144" s="82">
        <f>[8]Cartera_Vencida!C144</f>
        <v>3.3018466126697898</v>
      </c>
      <c r="D144" s="82">
        <f>[8]Cartera_Vencida!D144</f>
        <v>1.55140905826916</v>
      </c>
      <c r="E144" s="82">
        <f>[8]Cartera_Vencida!E144</f>
        <v>0.29400013907160399</v>
      </c>
      <c r="F144" s="84">
        <f>[8]Cartera_Vencida!F144</f>
        <v>9.0726945699551447</v>
      </c>
      <c r="G144" s="82">
        <f>100*B144/[8]Cartera_Bruta!B145</f>
        <v>3.0509865268437557</v>
      </c>
      <c r="H144" s="82">
        <f>100*C144/[8]Cartera_Bruta!C145</f>
        <v>5.6352566782218911</v>
      </c>
      <c r="I144" s="82">
        <f>100*D144/[8]Cartera_Bruta!D145</f>
        <v>7.712271321671488</v>
      </c>
      <c r="J144" s="82">
        <f>100*E144/[8]Cartera_Bruta!F145</f>
        <v>5.5809728004009198</v>
      </c>
      <c r="K144" s="84">
        <f>+F144*100/[8]Cartera_Bruta!G145</f>
        <v>4.2667331891127773</v>
      </c>
      <c r="L144" s="82"/>
      <c r="M144" s="82"/>
      <c r="N144" s="82"/>
      <c r="O144" s="82"/>
      <c r="P144" s="82"/>
      <c r="Q144" s="83">
        <f>100*(B144+L144)/([8]Cartera_Bruta!B145+'G2.4B'!L144)</f>
        <v>3.0509865268437557</v>
      </c>
      <c r="R144" s="82">
        <f>100*(C144+M144)/([8]Cartera_Bruta!C145+'G2.4B'!M144)</f>
        <v>5.6352566782218911</v>
      </c>
      <c r="S144" s="82">
        <f>100*(D144+N144)/([8]Cartera_Bruta!D145+'G2.4B'!N144)</f>
        <v>7.712271321671488</v>
      </c>
      <c r="T144" s="82">
        <f>100*(E144+O144)/([8]Cartera_Bruta!F145+'G2.4B'!O144)</f>
        <v>5.5809728004009198</v>
      </c>
      <c r="U144" s="84">
        <f>100*(F144+P144)/([8]Cartera_Bruta!G145+'G2.4B'!P144)</f>
        <v>4.2667331891127773</v>
      </c>
      <c r="V144" s="48" t="str">
        <f t="shared" si="2"/>
        <v>F</v>
      </c>
    </row>
    <row r="145" spans="1:22" x14ac:dyDescent="0.3">
      <c r="A145" s="43">
        <f t="shared" si="3"/>
        <v>40422</v>
      </c>
      <c r="B145" s="83">
        <f>[8]Cartera_Vencida!B145</f>
        <v>3.5140970691983</v>
      </c>
      <c r="C145" s="82">
        <f>[8]Cartera_Vencida!C145</f>
        <v>3.17794492131851</v>
      </c>
      <c r="D145" s="82">
        <f>[8]Cartera_Vencida!D145</f>
        <v>1.5520609607064499</v>
      </c>
      <c r="E145" s="82">
        <f>[8]Cartera_Vencida!E145</f>
        <v>0.28644495235263201</v>
      </c>
      <c r="F145" s="84">
        <f>[8]Cartera_Vencida!F145</f>
        <v>8.5305479035758918</v>
      </c>
      <c r="G145" s="82">
        <f>100*B145/[8]Cartera_Bruta!B146</f>
        <v>2.6633145175073398</v>
      </c>
      <c r="H145" s="82">
        <f>100*C145/[8]Cartera_Bruta!C146</f>
        <v>5.3224405905836365</v>
      </c>
      <c r="I145" s="82">
        <f>100*D145/[8]Cartera_Bruta!D146</f>
        <v>7.479279335846253</v>
      </c>
      <c r="J145" s="82">
        <f>100*E145/[8]Cartera_Bruta!F146</f>
        <v>5.3544191562404855</v>
      </c>
      <c r="K145" s="84">
        <f>+F145*100/[8]Cartera_Bruta!G146</f>
        <v>3.9175144944808964</v>
      </c>
      <c r="L145" s="82"/>
      <c r="M145" s="82"/>
      <c r="N145" s="82"/>
      <c r="O145" s="82"/>
      <c r="P145" s="82"/>
      <c r="Q145" s="83">
        <f>100*(B145+L145)/([8]Cartera_Bruta!B146+'G2.4B'!L145)</f>
        <v>2.6633145175073398</v>
      </c>
      <c r="R145" s="82">
        <f>100*(C145+M145)/([8]Cartera_Bruta!C146+'G2.4B'!M145)</f>
        <v>5.3224405905836365</v>
      </c>
      <c r="S145" s="82">
        <f>100*(D145+N145)/([8]Cartera_Bruta!D146+'G2.4B'!N145)</f>
        <v>7.479279335846253</v>
      </c>
      <c r="T145" s="82">
        <f>100*(E145+O145)/([8]Cartera_Bruta!F146+'G2.4B'!O145)</f>
        <v>5.3544191562404855</v>
      </c>
      <c r="U145" s="84">
        <f>100*(F145+P145)/([8]Cartera_Bruta!G146+'G2.4B'!P145)</f>
        <v>3.9175144944808964</v>
      </c>
      <c r="V145" s="48" t="str">
        <f t="shared" si="2"/>
        <v>F</v>
      </c>
    </row>
    <row r="146" spans="1:22" x14ac:dyDescent="0.3">
      <c r="A146" s="43">
        <f t="shared" si="3"/>
        <v>40452</v>
      </c>
      <c r="B146" s="83">
        <f>[8]Cartera_Vencida!B146</f>
        <v>3.5446984771369801</v>
      </c>
      <c r="C146" s="82">
        <f>[8]Cartera_Vencida!C146</f>
        <v>3.2179632967887901</v>
      </c>
      <c r="D146" s="82">
        <f>[8]Cartera_Vencida!D146</f>
        <v>1.58938990038446</v>
      </c>
      <c r="E146" s="82">
        <f>[8]Cartera_Vencida!E146</f>
        <v>0.28019005710433698</v>
      </c>
      <c r="F146" s="84">
        <f>[8]Cartera_Vencida!F146</f>
        <v>8.6322417314145667</v>
      </c>
      <c r="G146" s="82">
        <f>100*B146/[8]Cartera_Bruta!B147</f>
        <v>2.6387457991274079</v>
      </c>
      <c r="H146" s="82">
        <f>100*C146/[8]Cartera_Bruta!C147</f>
        <v>5.303968246104712</v>
      </c>
      <c r="I146" s="82">
        <f>100*D146/[8]Cartera_Bruta!D147</f>
        <v>7.6035250183114256</v>
      </c>
      <c r="J146" s="82">
        <f>100*E146/[8]Cartera_Bruta!F147</f>
        <v>5.1259485649377599</v>
      </c>
      <c r="K146" s="84">
        <f>+F146*100/[8]Cartera_Bruta!G147</f>
        <v>3.8994103093933012</v>
      </c>
      <c r="L146" s="82"/>
      <c r="M146" s="82"/>
      <c r="N146" s="82"/>
      <c r="O146" s="82"/>
      <c r="P146" s="82"/>
      <c r="Q146" s="83">
        <f>100*(B146+L146)/([8]Cartera_Bruta!B147+'G2.4B'!L146)</f>
        <v>2.6387457991274079</v>
      </c>
      <c r="R146" s="82">
        <f>100*(C146+M146)/([8]Cartera_Bruta!C147+'G2.4B'!M146)</f>
        <v>5.303968246104712</v>
      </c>
      <c r="S146" s="82">
        <f>100*(D146+N146)/([8]Cartera_Bruta!D147+'G2.4B'!N146)</f>
        <v>7.6035250183114256</v>
      </c>
      <c r="T146" s="82">
        <f>100*(E146+O146)/([8]Cartera_Bruta!F147+'G2.4B'!O146)</f>
        <v>5.1259485649377599</v>
      </c>
      <c r="U146" s="84">
        <f>100*(F146+P146)/([8]Cartera_Bruta!G147+'G2.4B'!P146)</f>
        <v>3.8994103093933012</v>
      </c>
      <c r="V146" s="48" t="str">
        <f t="shared" si="2"/>
        <v>F</v>
      </c>
    </row>
    <row r="147" spans="1:22" x14ac:dyDescent="0.3">
      <c r="A147" s="43">
        <f t="shared" si="3"/>
        <v>40483</v>
      </c>
      <c r="B147" s="83">
        <f>[8]Cartera_Vencida!B147</f>
        <v>3.4729782657957</v>
      </c>
      <c r="C147" s="82">
        <f>[8]Cartera_Vencida!C147</f>
        <v>3.1476275185479397</v>
      </c>
      <c r="D147" s="82">
        <f>[8]Cartera_Vencida!D147</f>
        <v>1.55869476292562</v>
      </c>
      <c r="E147" s="82">
        <f>[8]Cartera_Vencida!E147</f>
        <v>0.27439064910462801</v>
      </c>
      <c r="F147" s="84">
        <f>[8]Cartera_Vencida!F147</f>
        <v>8.4536911963738888</v>
      </c>
      <c r="G147" s="82">
        <f>100*B147/[8]Cartera_Bruta!B148</f>
        <v>2.4923558323120334</v>
      </c>
      <c r="H147" s="82">
        <f>100*C147/[8]Cartera_Bruta!C148</f>
        <v>5.0886344644260486</v>
      </c>
      <c r="I147" s="82">
        <f>100*D147/[8]Cartera_Bruta!D148</f>
        <v>7.2543122838815419</v>
      </c>
      <c r="J147" s="82">
        <f>100*E147/[8]Cartera_Bruta!F148</f>
        <v>4.9432426247723926</v>
      </c>
      <c r="K147" s="84">
        <f>+F147*100/[8]Cartera_Bruta!G148</f>
        <v>3.7038845468197352</v>
      </c>
      <c r="L147" s="82"/>
      <c r="M147" s="82"/>
      <c r="N147" s="82"/>
      <c r="O147" s="82"/>
      <c r="P147" s="82"/>
      <c r="Q147" s="83">
        <f>100*(B147+L147)/([8]Cartera_Bruta!B148+'G2.4B'!L147)</f>
        <v>2.4923558323120334</v>
      </c>
      <c r="R147" s="82">
        <f>100*(C147+M147)/([8]Cartera_Bruta!C148+'G2.4B'!M147)</f>
        <v>5.0886344644260486</v>
      </c>
      <c r="S147" s="82">
        <f>100*(D147+N147)/([8]Cartera_Bruta!D148+'G2.4B'!N147)</f>
        <v>7.2543122838815419</v>
      </c>
      <c r="T147" s="82">
        <f>100*(E147+O147)/([8]Cartera_Bruta!F148+'G2.4B'!O147)</f>
        <v>4.9432426247723926</v>
      </c>
      <c r="U147" s="84">
        <f>100*(F147+P147)/([8]Cartera_Bruta!G148+'G2.4B'!P147)</f>
        <v>3.7038845468197352</v>
      </c>
      <c r="V147" s="48" t="str">
        <f t="shared" si="2"/>
        <v>F</v>
      </c>
    </row>
    <row r="148" spans="1:22" x14ac:dyDescent="0.3">
      <c r="A148" s="43">
        <f t="shared" si="3"/>
        <v>40513</v>
      </c>
      <c r="B148" s="83">
        <f>[8]Cartera_Vencida!B148</f>
        <v>2.9962588560524201</v>
      </c>
      <c r="C148" s="82">
        <f>[8]Cartera_Vencida!C148</f>
        <v>2.78853417962002</v>
      </c>
      <c r="D148" s="82">
        <f>[8]Cartera_Vencida!D148</f>
        <v>1.3657645165890802</v>
      </c>
      <c r="E148" s="82">
        <f>[8]Cartera_Vencida!E148</f>
        <v>0.245382175362063</v>
      </c>
      <c r="F148" s="84">
        <f>[8]Cartera_Vencida!F148</f>
        <v>7.395939727623583</v>
      </c>
      <c r="G148" s="82">
        <f>100*B148/[8]Cartera_Bruta!B149</f>
        <v>2.1023923990565101</v>
      </c>
      <c r="H148" s="82">
        <f>100*C148/[8]Cartera_Bruta!C149</f>
        <v>4.4349195236639787</v>
      </c>
      <c r="I148" s="82">
        <f>100*D148/[8]Cartera_Bruta!D149</f>
        <v>7.3056574707642676</v>
      </c>
      <c r="J148" s="82">
        <f>100*E148/[8]Cartera_Bruta!F149</f>
        <v>4.3814347262107205</v>
      </c>
      <c r="K148" s="84">
        <f>+F148*100/[8]Cartera_Bruta!G149</f>
        <v>3.2199867195202501</v>
      </c>
      <c r="L148" s="82"/>
      <c r="M148" s="82"/>
      <c r="N148" s="82"/>
      <c r="O148" s="82"/>
      <c r="P148" s="82"/>
      <c r="Q148" s="83">
        <f>100*(B148+L148)/([8]Cartera_Bruta!B149+'G2.4B'!L148)</f>
        <v>2.1023923990565101</v>
      </c>
      <c r="R148" s="82">
        <f>100*(C148+M148)/([8]Cartera_Bruta!C149+'G2.4B'!M148)</f>
        <v>4.4349195236639787</v>
      </c>
      <c r="S148" s="82">
        <f>100*(D148+N148)/([8]Cartera_Bruta!D149+'G2.4B'!N148)</f>
        <v>7.3056574707642676</v>
      </c>
      <c r="T148" s="82">
        <f>100*(E148+O148)/([8]Cartera_Bruta!F149+'G2.4B'!O148)</f>
        <v>4.3814347262107205</v>
      </c>
      <c r="U148" s="84">
        <f>100*(F148+P148)/([8]Cartera_Bruta!G149+'G2.4B'!P148)</f>
        <v>3.2199867195202501</v>
      </c>
      <c r="V148" s="48" t="str">
        <f t="shared" si="2"/>
        <v>F</v>
      </c>
    </row>
    <row r="149" spans="1:22" x14ac:dyDescent="0.3">
      <c r="A149" s="87">
        <f t="shared" si="3"/>
        <v>40544</v>
      </c>
      <c r="B149" s="83">
        <f>[8]Cartera_Vencida!B149</f>
        <v>3.2873054419643002</v>
      </c>
      <c r="C149" s="82">
        <f>[8]Cartera_Vencida!C149</f>
        <v>2.9031387334651297</v>
      </c>
      <c r="D149" s="82">
        <f>[8]Cartera_Vencida!D149</f>
        <v>1.41692477169606</v>
      </c>
      <c r="E149" s="82">
        <f>[8]Cartera_Vencida!E149</f>
        <v>0.25898612878871596</v>
      </c>
      <c r="F149" s="84">
        <f>[8]Cartera_Vencida!F149</f>
        <v>7.866355075914206</v>
      </c>
      <c r="G149" s="82">
        <f>100*B149/[8]Cartera_Bruta!B150</f>
        <v>2.3323886182386397</v>
      </c>
      <c r="H149" s="82">
        <f>100*C149/[8]Cartera_Bruta!C150</f>
        <v>4.5961804105373503</v>
      </c>
      <c r="I149" s="82">
        <f>100*D149/[8]Cartera_Bruta!D150</f>
        <v>7.4191479604261419</v>
      </c>
      <c r="J149" s="82">
        <f>100*E149/[8]Cartera_Bruta!F150</f>
        <v>4.6258488815232841</v>
      </c>
      <c r="K149" s="84">
        <f>+F149*100/[8]Cartera_Bruta!G150</f>
        <v>3.4380527418299991</v>
      </c>
      <c r="L149" s="62">
        <f>5167318592.75647/(10^9)</f>
        <v>5.1673185927564695</v>
      </c>
      <c r="M149" s="62">
        <f>6243145294.6712/(10^9)</f>
        <v>6.2431452946711996</v>
      </c>
      <c r="N149" s="62">
        <f>602342485.492672/(10^9)</f>
        <v>0.602342485492672</v>
      </c>
      <c r="O149" s="62">
        <f>430483711.028143/(10^9)</f>
        <v>0.43048371102814298</v>
      </c>
      <c r="P149" s="84">
        <f>+SUM(L149:O149)</f>
        <v>12.443290083948485</v>
      </c>
      <c r="Q149" s="83">
        <f>100*(B149+L149)/([8]Cartera_Bruta!B150+'G2.4B'!L149)</f>
        <v>5.7865222024946847</v>
      </c>
      <c r="R149" s="82">
        <f>100*(C149+M149)/([8]Cartera_Bruta!C150+'G2.4B'!M149)</f>
        <v>13.177696543795385</v>
      </c>
      <c r="S149" s="82">
        <f>100*(D149+N149)/([8]Cartera_Bruta!D150+'G2.4B'!N149)</f>
        <v>10.249797942824037</v>
      </c>
      <c r="T149" s="82">
        <f>100*(E149+O149)/([8]Cartera_Bruta!F150+'G2.4B'!O149)</f>
        <v>11.435594248252695</v>
      </c>
      <c r="U149" s="84">
        <f>100*(F149+P149)/([8]Cartera_Bruta!G150+'G2.4B'!P149)</f>
        <v>8.4186481567489295</v>
      </c>
      <c r="V149" s="48" t="str">
        <f t="shared" si="2"/>
        <v>F</v>
      </c>
    </row>
    <row r="150" spans="1:22" x14ac:dyDescent="0.3">
      <c r="A150" s="43">
        <f t="shared" si="3"/>
        <v>40575</v>
      </c>
      <c r="B150" s="83">
        <f>[8]Cartera_Vencida!B150</f>
        <v>3.3024512250024198</v>
      </c>
      <c r="C150" s="82">
        <f>[8]Cartera_Vencida!C150</f>
        <v>3.0719891433951996</v>
      </c>
      <c r="D150" s="82">
        <f>[8]Cartera_Vencida!D150</f>
        <v>1.4485526329507799</v>
      </c>
      <c r="E150" s="82">
        <f>[8]Cartera_Vencida!E150</f>
        <v>0.29981477023433201</v>
      </c>
      <c r="F150" s="84">
        <f>[8]Cartera_Vencida!F150</f>
        <v>8.1228077715827318</v>
      </c>
      <c r="G150" s="82">
        <f>100*B150/[8]Cartera_Bruta!B151</f>
        <v>2.3084370806206049</v>
      </c>
      <c r="H150" s="82">
        <f>100*C150/[8]Cartera_Bruta!C151</f>
        <v>4.8205612879136988</v>
      </c>
      <c r="I150" s="82">
        <f>100*D150/[8]Cartera_Bruta!D151</f>
        <v>7.4010890433329575</v>
      </c>
      <c r="J150" s="82">
        <f>100*E150/[8]Cartera_Bruta!F151</f>
        <v>4.7370717605500445</v>
      </c>
      <c r="K150" s="84">
        <f>+F150*100/[8]Cartera_Bruta!G151</f>
        <v>3.4908563340447727</v>
      </c>
      <c r="L150" s="62">
        <f>4242151646.97564/(10^9)</f>
        <v>4.24215164697564</v>
      </c>
      <c r="M150" s="62">
        <f>7258756220.10044/(10^9)</f>
        <v>7.2587562201004401</v>
      </c>
      <c r="N150" s="62">
        <f>587155698.690438/(10^9)</f>
        <v>0.58715569869043804</v>
      </c>
      <c r="O150" s="62">
        <f>448782151.833961/(10^9)</f>
        <v>0.44878215183396103</v>
      </c>
      <c r="P150" s="84">
        <f t="shared" ref="P150:P213" si="4">+SUM(L150:O150)</f>
        <v>12.53684571760048</v>
      </c>
      <c r="Q150" s="83">
        <f>100*(B150+L150)/([8]Cartera_Bruta!B151+'G2.4B'!L150)</f>
        <v>5.1218534582585002</v>
      </c>
      <c r="R150" s="82">
        <f>100*(C150+M150)/([8]Cartera_Bruta!C151+'G2.4B'!M150)</f>
        <v>14.553307520194672</v>
      </c>
      <c r="S150" s="82">
        <f>100*(D150+N150)/([8]Cartera_Bruta!D151+'G2.4B'!N150)</f>
        <v>10.098104758506636</v>
      </c>
      <c r="T150" s="82">
        <f>100*(E150+O150)/([8]Cartera_Bruta!F151+'G2.4B'!O150)</f>
        <v>11.044676345448501</v>
      </c>
      <c r="U150" s="84">
        <f>100*(F150+P150)/([8]Cartera_Bruta!G151+'G2.4B'!P150)</f>
        <v>8.4247759689043455</v>
      </c>
      <c r="V150" s="48" t="str">
        <f t="shared" si="2"/>
        <v>F</v>
      </c>
    </row>
    <row r="151" spans="1:22" x14ac:dyDescent="0.3">
      <c r="A151" s="43">
        <f t="shared" si="3"/>
        <v>40603</v>
      </c>
      <c r="B151" s="83">
        <f>[8]Cartera_Vencida!B151</f>
        <v>3.3403961262716599</v>
      </c>
      <c r="C151" s="82">
        <f>[8]Cartera_Vencida!C151</f>
        <v>3.02952013762205</v>
      </c>
      <c r="D151" s="82">
        <f>[8]Cartera_Vencida!D151</f>
        <v>1.39582053430877</v>
      </c>
      <c r="E151" s="82">
        <f>[8]Cartera_Vencida!E151</f>
        <v>0.29755554569544701</v>
      </c>
      <c r="F151" s="84">
        <f>[8]Cartera_Vencida!F151</f>
        <v>8.0632923438979276</v>
      </c>
      <c r="G151" s="82">
        <f>100*B151/[8]Cartera_Bruta!B152</f>
        <v>2.3062329634631316</v>
      </c>
      <c r="H151" s="82">
        <f>100*C151/[8]Cartera_Bruta!C152</f>
        <v>4.6911087163782463</v>
      </c>
      <c r="I151" s="82">
        <f>100*D151/[8]Cartera_Bruta!D152</f>
        <v>6.9213098876147896</v>
      </c>
      <c r="J151" s="82">
        <f>100*E151/[8]Cartera_Bruta!F152</f>
        <v>4.6349282928946298</v>
      </c>
      <c r="K151" s="84">
        <f>+F151*100/[8]Cartera_Bruta!G152</f>
        <v>3.4165191298156108</v>
      </c>
      <c r="L151" s="62">
        <f>4243948707.34993/(10^9)</f>
        <v>4.2439487073499302</v>
      </c>
      <c r="M151" s="62">
        <f>7231018692.83369/(10^9)</f>
        <v>7.2310186928336897</v>
      </c>
      <c r="N151" s="62">
        <f>556957094.293147/(10^9)</f>
        <v>0.55695709429314699</v>
      </c>
      <c r="O151" s="62">
        <f>453100053.043478/(10^9)</f>
        <v>0.453100053043478</v>
      </c>
      <c r="P151" s="84">
        <f t="shared" si="4"/>
        <v>12.485024547520243</v>
      </c>
      <c r="Q151" s="83">
        <f>100*(B151+L151)/([8]Cartera_Bruta!B152+'G2.4B'!L151)</f>
        <v>5.0872265941167658</v>
      </c>
      <c r="R151" s="82">
        <f>100*(C151+M151)/([8]Cartera_Bruta!C152+'G2.4B'!M151)</f>
        <v>14.288242297566512</v>
      </c>
      <c r="S151" s="82">
        <f>100*(D151+N151)/([8]Cartera_Bruta!D152+'G2.4B'!N151)</f>
        <v>9.4228030947396206</v>
      </c>
      <c r="T151" s="82">
        <f>100*(E151+O151)/([8]Cartera_Bruta!F152+'G2.4B'!O151)</f>
        <v>10.921880027270973</v>
      </c>
      <c r="U151" s="84">
        <f>100*(F151+P151)/([8]Cartera_Bruta!G152+'G2.4B'!P151)</f>
        <v>8.2691395210686522</v>
      </c>
      <c r="V151" s="48" t="str">
        <f t="shared" si="2"/>
        <v>F</v>
      </c>
    </row>
    <row r="152" spans="1:22" x14ac:dyDescent="0.3">
      <c r="A152" s="43">
        <f t="shared" si="3"/>
        <v>40634</v>
      </c>
      <c r="B152" s="83">
        <f>[8]Cartera_Vencida!B152</f>
        <v>3.3103512701706901</v>
      </c>
      <c r="C152" s="82">
        <f>[8]Cartera_Vencida!C152</f>
        <v>3.17693364756588</v>
      </c>
      <c r="D152" s="82">
        <f>[8]Cartera_Vencida!D152</f>
        <v>1.46902578508905</v>
      </c>
      <c r="E152" s="82">
        <f>[8]Cartera_Vencida!E152</f>
        <v>0.31476334349755003</v>
      </c>
      <c r="F152" s="84">
        <f>[8]Cartera_Vencida!F152</f>
        <v>8.2710740463231698</v>
      </c>
      <c r="G152" s="82">
        <f>100*B152/[8]Cartera_Bruta!B153</f>
        <v>2.2614106111453292</v>
      </c>
      <c r="H152" s="82">
        <f>100*C152/[8]Cartera_Bruta!C153</f>
        <v>4.8248891782990659</v>
      </c>
      <c r="I152" s="82">
        <f>100*D152/[8]Cartera_Bruta!D153</f>
        <v>7.0967986691271472</v>
      </c>
      <c r="J152" s="82">
        <f>100*E152/[8]Cartera_Bruta!F153</f>
        <v>4.8301525233799216</v>
      </c>
      <c r="K152" s="84">
        <f>+F152*100/[8]Cartera_Bruta!G153</f>
        <v>3.4542613505064903</v>
      </c>
      <c r="L152" s="62">
        <f>4553486631.07285/(10^9)</f>
        <v>4.5534866310728503</v>
      </c>
      <c r="M152" s="62">
        <f>7060314175.10272/(10^9)</f>
        <v>7.0603141751027199</v>
      </c>
      <c r="N152" s="62">
        <f>554673496.527428/(10^9)</f>
        <v>0.55467349652742803</v>
      </c>
      <c r="O152" s="62">
        <f>446354860.005625/(10^9)</f>
        <v>0.44635486000562502</v>
      </c>
      <c r="P152" s="84">
        <f t="shared" si="4"/>
        <v>12.614829162708624</v>
      </c>
      <c r="Q152" s="83">
        <f>100*(B152+L152)/([8]Cartera_Bruta!B153+'G2.4B'!L152)</f>
        <v>5.2099844348454916</v>
      </c>
      <c r="R152" s="82">
        <f>100*(C152+M152)/([8]Cartera_Bruta!C153+'G2.4B'!M152)</f>
        <v>14.041898758337835</v>
      </c>
      <c r="S152" s="82">
        <f>100*(D152+N152)/([8]Cartera_Bruta!D153+'G2.4B'!N152)</f>
        <v>9.5212695860317442</v>
      </c>
      <c r="T152" s="82">
        <f>100*(E152+O152)/([8]Cartera_Bruta!F153+'G2.4B'!O152)</f>
        <v>10.930912855830657</v>
      </c>
      <c r="U152" s="84">
        <f>100*(F152+P152)/([8]Cartera_Bruta!G153+'G2.4B'!P152)</f>
        <v>8.2860724799188628</v>
      </c>
      <c r="V152" s="48" t="str">
        <f t="shared" si="2"/>
        <v>F</v>
      </c>
    </row>
    <row r="153" spans="1:22" x14ac:dyDescent="0.3">
      <c r="A153" s="43">
        <f t="shared" si="3"/>
        <v>40664</v>
      </c>
      <c r="B153" s="83">
        <f>[8]Cartera_Vencida!B153</f>
        <v>3.1039986045041501</v>
      </c>
      <c r="C153" s="82">
        <f>[8]Cartera_Vencida!C153</f>
        <v>3.0964225077834699</v>
      </c>
      <c r="D153" s="82">
        <f>[8]Cartera_Vencida!D153</f>
        <v>1.4008527835018001</v>
      </c>
      <c r="E153" s="82">
        <f>[8]Cartera_Vencida!E153</f>
        <v>0.313803422967318</v>
      </c>
      <c r="F153" s="84">
        <f>[8]Cartera_Vencida!F153</f>
        <v>7.9150773187567376</v>
      </c>
      <c r="G153" s="82">
        <f>100*B153/[8]Cartera_Bruta!B154</f>
        <v>2.0787686309821658</v>
      </c>
      <c r="H153" s="82">
        <f>100*C153/[8]Cartera_Bruta!C154</f>
        <v>4.5723069691867799</v>
      </c>
      <c r="I153" s="82">
        <f>100*D153/[8]Cartera_Bruta!D154</f>
        <v>6.5466559088814984</v>
      </c>
      <c r="J153" s="82">
        <f>100*E153/[8]Cartera_Bruta!F154</f>
        <v>4.7317829365671322</v>
      </c>
      <c r="K153" s="84">
        <f>+F153*100/[8]Cartera_Bruta!G154</f>
        <v>3.2297191602965256</v>
      </c>
      <c r="L153" s="62">
        <f>4625952539.62917/(10^9)</f>
        <v>4.6259525396291705</v>
      </c>
      <c r="M153" s="62">
        <f>6951486766.43932/(10^9)</f>
        <v>6.9514867664393192</v>
      </c>
      <c r="N153" s="62">
        <f>552171810.548428/(10^9)</f>
        <v>0.55217181054842801</v>
      </c>
      <c r="O153" s="62">
        <f>454551800.804391/(10^9)</f>
        <v>0.454551800804391</v>
      </c>
      <c r="P153" s="84">
        <f t="shared" si="4"/>
        <v>12.584162917421308</v>
      </c>
      <c r="Q153" s="83">
        <f>100*(B153+L153)/([8]Cartera_Bruta!B154+'G2.4B'!L153)</f>
        <v>5.02124039192993</v>
      </c>
      <c r="R153" s="82">
        <f>100*(C153+M153)/([8]Cartera_Bruta!C154+'G2.4B'!M153)</f>
        <v>13.455931084430899</v>
      </c>
      <c r="S153" s="82">
        <f>100*(D153+N153)/([8]Cartera_Bruta!D154+'G2.4B'!N153)</f>
        <v>8.8975407183117063</v>
      </c>
      <c r="T153" s="82">
        <f>100*(E153+O153)/([8]Cartera_Bruta!F154+'G2.4B'!O153)</f>
        <v>10.842713673425749</v>
      </c>
      <c r="U153" s="84">
        <f>100*(F153+P153)/([8]Cartera_Bruta!G154+'G2.4B'!P153)</f>
        <v>7.9561023737635264</v>
      </c>
      <c r="V153" s="48" t="str">
        <f t="shared" si="2"/>
        <v>F</v>
      </c>
    </row>
    <row r="154" spans="1:22" x14ac:dyDescent="0.3">
      <c r="A154" s="43">
        <f t="shared" si="3"/>
        <v>40695</v>
      </c>
      <c r="B154" s="83">
        <f>[8]Cartera_Vencida!B154</f>
        <v>3.00844785117879</v>
      </c>
      <c r="C154" s="82">
        <f>[8]Cartera_Vencida!C154</f>
        <v>3.0676178633953599</v>
      </c>
      <c r="D154" s="82">
        <f>[8]Cartera_Vencida!D154</f>
        <v>1.4315350223607499</v>
      </c>
      <c r="E154" s="82">
        <f>[8]Cartera_Vencida!E154</f>
        <v>0.317059946411893</v>
      </c>
      <c r="F154" s="84">
        <f>[8]Cartera_Vencida!F154</f>
        <v>7.8246606833467931</v>
      </c>
      <c r="G154" s="82">
        <f>100*B154/[8]Cartera_Bruta!B155</f>
        <v>1.9977120797748702</v>
      </c>
      <c r="H154" s="82">
        <f>100*C154/[8]Cartera_Bruta!C155</f>
        <v>4.4437044874865528</v>
      </c>
      <c r="I154" s="82">
        <f>100*D154/[8]Cartera_Bruta!D155</f>
        <v>6.5829596548416953</v>
      </c>
      <c r="J154" s="82">
        <f>100*E154/[8]Cartera_Bruta!F155</f>
        <v>4.7064549657943884</v>
      </c>
      <c r="K154" s="84">
        <f>+F154*100/[8]Cartera_Bruta!G155</f>
        <v>3.1537020177141248</v>
      </c>
      <c r="L154" s="62">
        <f>3731368367.57097/(10^9)</f>
        <v>3.7313683675709699</v>
      </c>
      <c r="M154" s="62">
        <f>7438751891.41203/(10^9)</f>
        <v>7.4387518914120303</v>
      </c>
      <c r="N154" s="62">
        <f>537594720.494498/(10^9)</f>
        <v>0.53759472049449797</v>
      </c>
      <c r="O154" s="62">
        <f>505884255.397774/(10^9)</f>
        <v>0.50588425539777393</v>
      </c>
      <c r="P154" s="84">
        <f t="shared" si="4"/>
        <v>12.213599234875273</v>
      </c>
      <c r="Q154" s="83">
        <f>100*(B154+L154)/([8]Cartera_Bruta!B155+'G2.4B'!L154)</f>
        <v>4.3672580645287669</v>
      </c>
      <c r="R154" s="82">
        <f>100*(C154+M154)/([8]Cartera_Bruta!C155+'G2.4B'!M154)</f>
        <v>13.738908666963615</v>
      </c>
      <c r="S154" s="82">
        <f>100*(D154+N154)/([8]Cartera_Bruta!D155+'G2.4B'!N154)</f>
        <v>8.8366512292965034</v>
      </c>
      <c r="T154" s="82">
        <f>100*(E154+O154)/([8]Cartera_Bruta!F155+'G2.4B'!O154)</f>
        <v>11.362570356927684</v>
      </c>
      <c r="U154" s="84">
        <f>100*(F154+P154)/([8]Cartera_Bruta!G155+'G2.4B'!P154)</f>
        <v>7.6974327673274532</v>
      </c>
      <c r="V154" s="48" t="str">
        <f t="shared" si="2"/>
        <v>F</v>
      </c>
    </row>
    <row r="155" spans="1:22" x14ac:dyDescent="0.3">
      <c r="A155" s="43">
        <f t="shared" si="3"/>
        <v>40725</v>
      </c>
      <c r="B155" s="83">
        <f>[8]Cartera_Vencida!B155</f>
        <v>3.2450809258493698</v>
      </c>
      <c r="C155" s="82">
        <f>[8]Cartera_Vencida!C155</f>
        <v>3.1796022036123301</v>
      </c>
      <c r="D155" s="82">
        <f>[8]Cartera_Vencida!D155</f>
        <v>1.4177067004351298</v>
      </c>
      <c r="E155" s="82">
        <f>[8]Cartera_Vencida!E155</f>
        <v>0.33215856805119698</v>
      </c>
      <c r="F155" s="84">
        <f>[8]Cartera_Vencida!F155</f>
        <v>8.1745483979480262</v>
      </c>
      <c r="G155" s="82">
        <f>100*B155/[8]Cartera_Bruta!B156</f>
        <v>2.1299114464665538</v>
      </c>
      <c r="H155" s="82">
        <f>100*C155/[8]Cartera_Bruta!C156</f>
        <v>4.531669769022419</v>
      </c>
      <c r="I155" s="82">
        <f>100*D155/[8]Cartera_Bruta!D156</f>
        <v>6.3496544243147151</v>
      </c>
      <c r="J155" s="82">
        <f>100*E155/[8]Cartera_Bruta!F156</f>
        <v>4.8514775798710312</v>
      </c>
      <c r="K155" s="84">
        <f>+F155*100/[8]Cartera_Bruta!G156</f>
        <v>3.2477937040575182</v>
      </c>
      <c r="L155" s="62">
        <f>3746071800.77037/(10^9)</f>
        <v>3.7460718007703702</v>
      </c>
      <c r="M155" s="62">
        <f>7470701398.37072/(10^9)</f>
        <v>7.4707013983707196</v>
      </c>
      <c r="N155" s="62">
        <f>480016530.973462/(10^9)</f>
        <v>0.48001653097346197</v>
      </c>
      <c r="O155" s="62">
        <f>507240989.78088/(10^9)</f>
        <v>0.50724098978087995</v>
      </c>
      <c r="P155" s="84">
        <f t="shared" si="4"/>
        <v>12.204030719895432</v>
      </c>
      <c r="Q155" s="83">
        <f>100*(B155+L155)/([8]Cartera_Bruta!B156+'G2.4B'!L155)</f>
        <v>4.4785332879039697</v>
      </c>
      <c r="R155" s="82">
        <f>100*(C155+M155)/([8]Cartera_Bruta!C156+'G2.4B'!M155)</f>
        <v>13.718477807791277</v>
      </c>
      <c r="S155" s="82">
        <f>100*(D155+N155)/([8]Cartera_Bruta!D156+'G2.4B'!N155)</f>
        <v>8.3206756262651087</v>
      </c>
      <c r="T155" s="82">
        <f>100*(E155+O155)/([8]Cartera_Bruta!F156+'G2.4B'!O155)</f>
        <v>11.414523403070339</v>
      </c>
      <c r="U155" s="84">
        <f>100*(F155+P155)/([8]Cartera_Bruta!G156+'G2.4B'!P155)</f>
        <v>7.7220995064472771</v>
      </c>
      <c r="V155" s="48" t="str">
        <f t="shared" si="2"/>
        <v>F</v>
      </c>
    </row>
    <row r="156" spans="1:22" x14ac:dyDescent="0.3">
      <c r="A156" s="43">
        <f t="shared" si="3"/>
        <v>40756</v>
      </c>
      <c r="B156" s="83">
        <f>[8]Cartera_Vencida!B156</f>
        <v>3.1890615723216902</v>
      </c>
      <c r="C156" s="82">
        <f>[8]Cartera_Vencida!C156</f>
        <v>3.2075605287050499</v>
      </c>
      <c r="D156" s="82">
        <f>[8]Cartera_Vencida!D156</f>
        <v>1.3889214635139502</v>
      </c>
      <c r="E156" s="82">
        <f>[8]Cartera_Vencida!E156</f>
        <v>0.32939497272672402</v>
      </c>
      <c r="F156" s="84">
        <f>[8]Cartera_Vencida!F156</f>
        <v>8.114938537267415</v>
      </c>
      <c r="G156" s="82">
        <f>100*B156/[8]Cartera_Bruta!B157</f>
        <v>2.0640955198703734</v>
      </c>
      <c r="H156" s="82">
        <f>100*C156/[8]Cartera_Bruta!C157</f>
        <v>4.4856538010531706</v>
      </c>
      <c r="I156" s="82">
        <f>100*D156/[8]Cartera_Bruta!D157</f>
        <v>6.0274539849989432</v>
      </c>
      <c r="J156" s="82">
        <f>100*E156/[8]Cartera_Bruta!F157</f>
        <v>4.7024065411152467</v>
      </c>
      <c r="K156" s="84">
        <f>+F156*100/[8]Cartera_Bruta!G157</f>
        <v>3.1691946091751397</v>
      </c>
      <c r="L156" s="62">
        <f>3761981183.24902/(10^9)</f>
        <v>3.76198118324902</v>
      </c>
      <c r="M156" s="62">
        <f>7059927476.04229/(10^9)</f>
        <v>7.0599274760422901</v>
      </c>
      <c r="N156" s="62">
        <f>481829840.242723/(10^9)</f>
        <v>0.48182984024272296</v>
      </c>
      <c r="O156" s="62">
        <f>508622820.24414/(10^9)</f>
        <v>0.50862282024414007</v>
      </c>
      <c r="P156" s="84">
        <f t="shared" si="4"/>
        <v>11.812361319778173</v>
      </c>
      <c r="Q156" s="83">
        <f>100*(B156+L156)/([8]Cartera_Bruta!B157+'G2.4B'!L156)</f>
        <v>4.3920658452114756</v>
      </c>
      <c r="R156" s="82">
        <f>100*(C156+M156)/([8]Cartera_Bruta!C157+'G2.4B'!M156)</f>
        <v>13.068445580257944</v>
      </c>
      <c r="S156" s="82">
        <f>100*(D156+N156)/([8]Cartera_Bruta!D157+'G2.4B'!N156)</f>
        <v>7.9521561162189238</v>
      </c>
      <c r="T156" s="82">
        <f>100*(E156+O156)/([8]Cartera_Bruta!F157+'G2.4B'!O156)</f>
        <v>11.153583620773187</v>
      </c>
      <c r="U156" s="84">
        <f>100*(F156+P156)/([8]Cartera_Bruta!G157+'G2.4B'!P156)</f>
        <v>7.439191285280101</v>
      </c>
      <c r="V156" s="48" t="str">
        <f t="shared" si="2"/>
        <v>F</v>
      </c>
    </row>
    <row r="157" spans="1:22" x14ac:dyDescent="0.3">
      <c r="A157" s="43">
        <f t="shared" si="3"/>
        <v>40787</v>
      </c>
      <c r="B157" s="83">
        <f>[8]Cartera_Vencida!B157</f>
        <v>3.2596666295666599</v>
      </c>
      <c r="C157" s="82">
        <f>[8]Cartera_Vencida!C157</f>
        <v>3.2730594162604301</v>
      </c>
      <c r="D157" s="82">
        <f>[8]Cartera_Vencida!D157</f>
        <v>1.4045426724697199</v>
      </c>
      <c r="E157" s="82">
        <f>[8]Cartera_Vencida!E157</f>
        <v>0.32046840726234899</v>
      </c>
      <c r="F157" s="84">
        <f>[8]Cartera_Vencida!F157</f>
        <v>8.2577371255591583</v>
      </c>
      <c r="G157" s="82">
        <f>100*B157/[8]Cartera_Bruta!B158</f>
        <v>2.0659713935099786</v>
      </c>
      <c r="H157" s="82">
        <f>100*C157/[8]Cartera_Bruta!C158</f>
        <v>4.5075096029967217</v>
      </c>
      <c r="I157" s="82">
        <f>100*D157/[8]Cartera_Bruta!D158</f>
        <v>6.0327746770745545</v>
      </c>
      <c r="J157" s="82">
        <f>100*E157/[8]Cartera_Bruta!F158</f>
        <v>4.4852073286644476</v>
      </c>
      <c r="K157" s="84">
        <f>+F157*100/[8]Cartera_Bruta!G158</f>
        <v>3.1660767062986799</v>
      </c>
      <c r="L157" s="62">
        <f>3781311492.2327/(10^9)</f>
        <v>3.7813114922327</v>
      </c>
      <c r="M157" s="62">
        <f>6962788675.61222/(10^9)</f>
        <v>6.9627886756122201</v>
      </c>
      <c r="N157" s="62">
        <f>461252267.013414/(10^9)</f>
        <v>0.46125226701341404</v>
      </c>
      <c r="O157" s="62">
        <f>530454752.287089/(10^9)</f>
        <v>0.53045475228708894</v>
      </c>
      <c r="P157" s="84">
        <f t="shared" si="4"/>
        <v>11.735807187145422</v>
      </c>
      <c r="Q157" s="83">
        <f>100*(B157+L157)/([8]Cartera_Bruta!B158+'G2.4B'!L157)</f>
        <v>4.3581143584158522</v>
      </c>
      <c r="R157" s="82">
        <f>100*(C157+M157)/([8]Cartera_Bruta!C158+'G2.4B'!M157)</f>
        <v>12.862941101789717</v>
      </c>
      <c r="S157" s="82">
        <f>100*(D157+N157)/([8]Cartera_Bruta!D158+'G2.4B'!N157)</f>
        <v>7.8582548223154483</v>
      </c>
      <c r="T157" s="82">
        <f>100*(E157+O157)/([8]Cartera_Bruta!F158+'G2.4B'!O157)</f>
        <v>11.086278763257807</v>
      </c>
      <c r="U157" s="84">
        <f>100*(F157+P157)/([8]Cartera_Bruta!G158+'G2.4B'!P157)</f>
        <v>7.3355986979140635</v>
      </c>
      <c r="V157" s="48" t="str">
        <f t="shared" si="2"/>
        <v>F</v>
      </c>
    </row>
    <row r="158" spans="1:22" x14ac:dyDescent="0.3">
      <c r="A158" s="43">
        <f t="shared" si="3"/>
        <v>40817</v>
      </c>
      <c r="B158" s="83">
        <f>[8]Cartera_Vencida!B158</f>
        <v>3.3881573248895798</v>
      </c>
      <c r="C158" s="82">
        <f>[8]Cartera_Vencida!C158</f>
        <v>3.4357621523086901</v>
      </c>
      <c r="D158" s="82">
        <f>[8]Cartera_Vencida!D158</f>
        <v>1.45933480608724</v>
      </c>
      <c r="E158" s="82">
        <f>[8]Cartera_Vencida!E158</f>
        <v>0.33079172983310401</v>
      </c>
      <c r="F158" s="84">
        <f>[8]Cartera_Vencida!F158</f>
        <v>8.6140460131186138</v>
      </c>
      <c r="G158" s="82">
        <f>100*B158/[8]Cartera_Bruta!B159</f>
        <v>2.1342113363542925</v>
      </c>
      <c r="H158" s="82">
        <f>100*C158/[8]Cartera_Bruta!C159</f>
        <v>4.6606156680729134</v>
      </c>
      <c r="I158" s="82">
        <f>100*D158/[8]Cartera_Bruta!D159</f>
        <v>6.1007805534226645</v>
      </c>
      <c r="J158" s="82">
        <f>100*E158/[8]Cartera_Bruta!F159</f>
        <v>4.5144717731651989</v>
      </c>
      <c r="K158" s="84">
        <f>+F158*100/[8]Cartera_Bruta!G159</f>
        <v>3.2663429216574009</v>
      </c>
      <c r="L158" s="62">
        <f>3832744790.74893/(10^9)</f>
        <v>3.8327447907489298</v>
      </c>
      <c r="M158" s="62">
        <f>7182177283.0149/(10^9)</f>
        <v>7.1821772830148998</v>
      </c>
      <c r="N158" s="62">
        <f>460266338.821598/(10^9)</f>
        <v>0.46026633882159801</v>
      </c>
      <c r="O158" s="62">
        <f>536951237.976943/(10^9)</f>
        <v>0.536951237976943</v>
      </c>
      <c r="P158" s="84">
        <f t="shared" si="4"/>
        <v>12.01213965056237</v>
      </c>
      <c r="Q158" s="83">
        <f>100*(B158+L158)/([8]Cartera_Bruta!B159+'G2.4B'!L158)</f>
        <v>4.4412465954589644</v>
      </c>
      <c r="R158" s="82">
        <f>100*(C158+M158)/([8]Cartera_Bruta!C159+'G2.4B'!M158)</f>
        <v>13.124569578891442</v>
      </c>
      <c r="S158" s="82">
        <f>100*(D158+N158)/([8]Cartera_Bruta!D159+'G2.4B'!N158)</f>
        <v>7.8734368869923754</v>
      </c>
      <c r="T158" s="82">
        <f>100*(E158+O158)/([8]Cartera_Bruta!F159+'G2.4B'!O158)</f>
        <v>11.033930646683707</v>
      </c>
      <c r="U158" s="84">
        <f>100*(F158+P158)/([8]Cartera_Bruta!G159+'G2.4B'!P158)</f>
        <v>7.4804769905640871</v>
      </c>
      <c r="V158" s="48" t="str">
        <f t="shared" si="2"/>
        <v>F</v>
      </c>
    </row>
    <row r="159" spans="1:22" x14ac:dyDescent="0.3">
      <c r="A159" s="43">
        <f t="shared" si="3"/>
        <v>40848</v>
      </c>
      <c r="B159" s="83">
        <f>[8]Cartera_Vencida!B159</f>
        <v>3.22058273359736</v>
      </c>
      <c r="C159" s="82">
        <f>[8]Cartera_Vencida!C159</f>
        <v>3.4921957990372499</v>
      </c>
      <c r="D159" s="82">
        <f>[8]Cartera_Vencida!D159</f>
        <v>1.4571055175710399</v>
      </c>
      <c r="E159" s="82">
        <f>[8]Cartera_Vencida!E159</f>
        <v>0.33236589686072998</v>
      </c>
      <c r="F159" s="84">
        <f>[8]Cartera_Vencida!F159</f>
        <v>8.5022499470663817</v>
      </c>
      <c r="G159" s="82">
        <f>100*B159/[8]Cartera_Bruta!B160</f>
        <v>1.9642726082870428</v>
      </c>
      <c r="H159" s="82">
        <f>100*C159/[8]Cartera_Bruta!C160</f>
        <v>4.6478378782774632</v>
      </c>
      <c r="I159" s="82">
        <f>100*D159/[8]Cartera_Bruta!D160</f>
        <v>6.0466132387909965</v>
      </c>
      <c r="J159" s="82">
        <f>100*E159/[8]Cartera_Bruta!F160</f>
        <v>4.4576781139935031</v>
      </c>
      <c r="K159" s="84">
        <f>+F159*100/[8]Cartera_Bruta!G160</f>
        <v>3.141443573241685</v>
      </c>
      <c r="L159" s="62">
        <f>3711036974.83148/(10^9)</f>
        <v>3.71103697483148</v>
      </c>
      <c r="M159" s="62">
        <f>6908846195.64968/(10^9)</f>
        <v>6.9088461956496801</v>
      </c>
      <c r="N159" s="62">
        <f>456696167.174479/(10^9)</f>
        <v>0.45669616717447903</v>
      </c>
      <c r="O159" s="62">
        <f>530688965.827654/(10^9)</f>
        <v>0.53068896582765401</v>
      </c>
      <c r="P159" s="84">
        <f t="shared" si="4"/>
        <v>11.607268303483293</v>
      </c>
      <c r="Q159" s="83">
        <f>100*(B159+L159)/([8]Cartera_Bruta!B160+'G2.4B'!L159)</f>
        <v>4.1341075635746076</v>
      </c>
      <c r="R159" s="82">
        <f>100*(C159+M159)/([8]Cartera_Bruta!C160+'G2.4B'!M159)</f>
        <v>12.677276495616299</v>
      </c>
      <c r="S159" s="82">
        <f>100*(D159+N159)/([8]Cartera_Bruta!D160+'G2.4B'!N159)</f>
        <v>7.7940738255595523</v>
      </c>
      <c r="T159" s="82">
        <f>100*(E159+O159)/([8]Cartera_Bruta!F160+'G2.4B'!O159)</f>
        <v>10.806122939298337</v>
      </c>
      <c r="U159" s="84">
        <f>100*(F159+P159)/([8]Cartera_Bruta!G160+'G2.4B'!P159)</f>
        <v>7.124589036574708</v>
      </c>
      <c r="V159" s="48" t="str">
        <f t="shared" si="2"/>
        <v>F</v>
      </c>
    </row>
    <row r="160" spans="1:22" x14ac:dyDescent="0.3">
      <c r="A160" s="43">
        <f t="shared" si="3"/>
        <v>40878</v>
      </c>
      <c r="B160" s="83">
        <f>[8]Cartera_Vencida!B160</f>
        <v>2.77817523609224</v>
      </c>
      <c r="C160" s="82">
        <f>[8]Cartera_Vencida!C160</f>
        <v>3.21321873172004</v>
      </c>
      <c r="D160" s="82">
        <f>[8]Cartera_Vencida!D160</f>
        <v>1.3461053607247802</v>
      </c>
      <c r="E160" s="82">
        <f>[8]Cartera_Vencida!E160</f>
        <v>0.30140003314881902</v>
      </c>
      <c r="F160" s="84">
        <f>[8]Cartera_Vencida!F160</f>
        <v>7.6388993616858798</v>
      </c>
      <c r="G160" s="82">
        <f>100*B160/[8]Cartera_Bruta!B161</f>
        <v>1.6932607360887597</v>
      </c>
      <c r="H160" s="82">
        <f>100*C160/[8]Cartera_Bruta!C161</f>
        <v>4.2146674988505648</v>
      </c>
      <c r="I160" s="82">
        <f>100*D160/[8]Cartera_Bruta!D161</f>
        <v>5.4484550456743612</v>
      </c>
      <c r="J160" s="82">
        <f>100*E160/[8]Cartera_Bruta!F161</f>
        <v>4.0127774813213639</v>
      </c>
      <c r="K160" s="84">
        <f>+F160*100/[8]Cartera_Bruta!G161</f>
        <v>2.8029710732072202</v>
      </c>
      <c r="L160" s="62">
        <f>3969143161.42836/(10^9)</f>
        <v>3.9691431614283599</v>
      </c>
      <c r="M160" s="62">
        <f>6684196797.43454/(10^9)</f>
        <v>6.6841967974345398</v>
      </c>
      <c r="N160" s="62">
        <f>455029891.154819/(10^9)</f>
        <v>0.45502989115481901</v>
      </c>
      <c r="O160" s="62">
        <f>573674776.372383/(10^9)</f>
        <v>0.57367477637238296</v>
      </c>
      <c r="P160" s="84">
        <f t="shared" si="4"/>
        <v>11.682044626390102</v>
      </c>
      <c r="Q160" s="83">
        <f>100*(B160+L160)/([8]Cartera_Bruta!B161+'G2.4B'!L160)</f>
        <v>4.0152656420826203</v>
      </c>
      <c r="R160" s="82">
        <f>100*(C160+M160)/([8]Cartera_Bruta!C161+'G2.4B'!M160)</f>
        <v>11.935647088941165</v>
      </c>
      <c r="S160" s="82">
        <f>100*(D160+N160)/([8]Cartera_Bruta!D161+'G2.4B'!N160)</f>
        <v>7.1583796300546823</v>
      </c>
      <c r="T160" s="82">
        <f>100*(E160+O160)/([8]Cartera_Bruta!F161+'G2.4B'!O160)</f>
        <v>10.823860946088791</v>
      </c>
      <c r="U160" s="84">
        <f>100*(F160+P160)/([8]Cartera_Bruta!G161+'G2.4B'!P160)</f>
        <v>6.7981057798230022</v>
      </c>
      <c r="V160" s="48" t="str">
        <f t="shared" si="2"/>
        <v>F</v>
      </c>
    </row>
    <row r="161" spans="1:22" x14ac:dyDescent="0.3">
      <c r="A161" s="43">
        <f t="shared" si="3"/>
        <v>40909</v>
      </c>
      <c r="B161" s="83">
        <f>[8]Cartera_Vencida!B161</f>
        <v>3.0869109463573197</v>
      </c>
      <c r="C161" s="82">
        <f>[8]Cartera_Vencida!C161</f>
        <v>3.45403763745689</v>
      </c>
      <c r="D161" s="82">
        <f>[8]Cartera_Vencida!D161</f>
        <v>1.4293973273396698</v>
      </c>
      <c r="E161" s="82">
        <f>[8]Cartera_Vencida!E161</f>
        <v>0.31298632449386105</v>
      </c>
      <c r="F161" s="84">
        <f>[8]Cartera_Vencida!F161</f>
        <v>8.283332235647741</v>
      </c>
      <c r="G161" s="82">
        <f>100*B161/[8]Cartera_Bruta!B162</f>
        <v>1.9090748453748199</v>
      </c>
      <c r="H161" s="82">
        <f>100*C161/[8]Cartera_Bruta!C162</f>
        <v>4.5152410959152975</v>
      </c>
      <c r="I161" s="82">
        <f>100*D161/[8]Cartera_Bruta!D162</f>
        <v>5.6961181191338648</v>
      </c>
      <c r="J161" s="82">
        <f>100*E161/[8]Cartera_Bruta!F162</f>
        <v>4.1489575253173232</v>
      </c>
      <c r="K161" s="84">
        <f>+F161*100/[8]Cartera_Bruta!G162</f>
        <v>3.0584765461249992</v>
      </c>
      <c r="L161" s="62">
        <f>3928763747.79513/(10^9)</f>
        <v>3.9287637477951298</v>
      </c>
      <c r="M161" s="62">
        <f>6770992446.50092/(10^9)</f>
        <v>6.7709924465009204</v>
      </c>
      <c r="N161" s="62">
        <f>420053831.68253/(10^9)</f>
        <v>0.42005383168252997</v>
      </c>
      <c r="O161" s="62">
        <f>578738302.339406/(10^9)</f>
        <v>0.57873830233940604</v>
      </c>
      <c r="P161" s="84">
        <f t="shared" si="4"/>
        <v>11.698548328317987</v>
      </c>
      <c r="Q161" s="83">
        <f>100*(B161+L161)/([8]Cartera_Bruta!B162+'G2.4B'!L161)</f>
        <v>4.2358673062738852</v>
      </c>
      <c r="R161" s="82">
        <f>100*(C161+M161)/([8]Cartera_Bruta!C162+'G2.4B'!M161)</f>
        <v>12.279619868227737</v>
      </c>
      <c r="S161" s="82">
        <f>100*(D161+N161)/([8]Cartera_Bruta!D162+'G2.4B'!N161)</f>
        <v>7.2486875650195222</v>
      </c>
      <c r="T161" s="82">
        <f>100*(E161+O161)/([8]Cartera_Bruta!F162+'G2.4B'!O161)</f>
        <v>10.978487588281116</v>
      </c>
      <c r="U161" s="84">
        <f>100*(F161+P161)/([8]Cartera_Bruta!G162+'G2.4B'!P161)</f>
        <v>7.0724680608144199</v>
      </c>
      <c r="V161" s="48" t="str">
        <f t="shared" si="2"/>
        <v>F</v>
      </c>
    </row>
    <row r="162" spans="1:22" x14ac:dyDescent="0.3">
      <c r="A162" s="43">
        <f t="shared" si="3"/>
        <v>40940</v>
      </c>
      <c r="B162" s="83">
        <f>[8]Cartera_Vencida!B162</f>
        <v>3.1849027352095498</v>
      </c>
      <c r="C162" s="82">
        <f>[8]Cartera_Vencida!C162</f>
        <v>3.6536032403679197</v>
      </c>
      <c r="D162" s="82">
        <f>[8]Cartera_Vencida!D162</f>
        <v>1.4167398803684799</v>
      </c>
      <c r="E162" s="82">
        <f>[8]Cartera_Vencida!E162</f>
        <v>0.33874272777211101</v>
      </c>
      <c r="F162" s="84">
        <f>[8]Cartera_Vencida!F162</f>
        <v>8.5939885837180601</v>
      </c>
      <c r="G162" s="82">
        <f>100*B162/[8]Cartera_Bruta!B163</f>
        <v>1.9669624462369903</v>
      </c>
      <c r="H162" s="82">
        <f>100*C162/[8]Cartera_Bruta!C163</f>
        <v>4.7355878899181318</v>
      </c>
      <c r="I162" s="82">
        <f>100*D162/[8]Cartera_Bruta!D163</f>
        <v>5.6622558527946234</v>
      </c>
      <c r="J162" s="82">
        <f>100*E162/[8]Cartera_Bruta!F163</f>
        <v>4.4726870698213146</v>
      </c>
      <c r="K162" s="84">
        <f>+F162*100/[8]Cartera_Bruta!G163</f>
        <v>3.1634361288317816</v>
      </c>
      <c r="L162" s="62">
        <f>3906253439.002/(10^9)</f>
        <v>3.9062534390020001</v>
      </c>
      <c r="M162" s="62">
        <f>6817875448.79811/(10^9)</f>
        <v>6.8178754487981097</v>
      </c>
      <c r="N162" s="62">
        <f>415304177.487224/(10^9)</f>
        <v>0.41530417748722398</v>
      </c>
      <c r="O162" s="62">
        <f>577388945.618053/(10^9)</f>
        <v>0.57738894561805298</v>
      </c>
      <c r="P162" s="84">
        <f t="shared" si="4"/>
        <v>11.716822010905386</v>
      </c>
      <c r="Q162" s="83">
        <f>100*(B162+L162)/([8]Cartera_Bruta!B163+'G2.4B'!L162)</f>
        <v>4.276260386997853</v>
      </c>
      <c r="R162" s="82">
        <f>100*(C162+M162)/([8]Cartera_Bruta!C163+'G2.4B'!M162)</f>
        <v>12.470510554823486</v>
      </c>
      <c r="S162" s="82">
        <f>100*(D162+N162)/([8]Cartera_Bruta!D163+'G2.4B'!N162)</f>
        <v>7.2025431861984295</v>
      </c>
      <c r="T162" s="82">
        <f>100*(E162+O162)/([8]Cartera_Bruta!F163+'G2.4B'!O162)</f>
        <v>11.239537176692464</v>
      </c>
      <c r="U162" s="84">
        <f>100*(F162+P162)/([8]Cartera_Bruta!G163+'G2.4B'!P162)</f>
        <v>7.1672629606969247</v>
      </c>
      <c r="V162" s="48" t="str">
        <f t="shared" si="2"/>
        <v>F</v>
      </c>
    </row>
    <row r="163" spans="1:22" x14ac:dyDescent="0.3">
      <c r="A163" s="43">
        <f t="shared" si="3"/>
        <v>40969</v>
      </c>
      <c r="B163" s="83">
        <f>[8]Cartera_Vencida!B163</f>
        <v>3.1652564081915</v>
      </c>
      <c r="C163" s="82">
        <f>[8]Cartera_Vencida!C163</f>
        <v>3.7239968603688798</v>
      </c>
      <c r="D163" s="82">
        <f>[8]Cartera_Vencida!D163</f>
        <v>1.45762812461163</v>
      </c>
      <c r="E163" s="82">
        <f>[8]Cartera_Vencida!E163</f>
        <v>0.35618739577240699</v>
      </c>
      <c r="F163" s="84">
        <f>[8]Cartera_Vencida!F163</f>
        <v>8.7030687889444156</v>
      </c>
      <c r="G163" s="82">
        <f>100*B163/[8]Cartera_Bruta!B164</f>
        <v>1.9376563967204978</v>
      </c>
      <c r="H163" s="82">
        <f>100*C163/[8]Cartera_Bruta!C164</f>
        <v>4.7583241627867956</v>
      </c>
      <c r="I163" s="82">
        <f>100*D163/[8]Cartera_Bruta!D164</f>
        <v>5.6898503264860274</v>
      </c>
      <c r="J163" s="82">
        <f>100*E163/[8]Cartera_Bruta!F164</f>
        <v>4.6436654526111312</v>
      </c>
      <c r="K163" s="84">
        <f>+F163*100/[8]Cartera_Bruta!G164</f>
        <v>3.1658332590289255</v>
      </c>
      <c r="L163" s="62">
        <f>4643665955.94899/(10^9)</f>
        <v>4.6436659559489897</v>
      </c>
      <c r="M163" s="62">
        <f>6379450474.60694/(10^9)</f>
        <v>6.3794504746069407</v>
      </c>
      <c r="N163" s="62">
        <f>416682163.909742/(10^9)</f>
        <v>0.416682163909742</v>
      </c>
      <c r="O163" s="62">
        <f>499817888.105674/(10^9)</f>
        <v>0.49981788810567401</v>
      </c>
      <c r="P163" s="84">
        <f t="shared" si="4"/>
        <v>11.939616482571347</v>
      </c>
      <c r="Q163" s="83">
        <f>100*(B163+L163)/([8]Cartera_Bruta!B164+'G2.4B'!L163)</f>
        <v>4.6482081235930472</v>
      </c>
      <c r="R163" s="82">
        <f>100*(C163+M163)/([8]Cartera_Bruta!C164+'G2.4B'!M163)</f>
        <v>11.936650363131832</v>
      </c>
      <c r="S163" s="82">
        <f>100*(D163+N163)/([8]Cartera_Bruta!D164+'G2.4B'!N163)</f>
        <v>7.1992713684534442</v>
      </c>
      <c r="T163" s="82">
        <f>100*(E163+O163)/([8]Cartera_Bruta!F164+'G2.4B'!O163)</f>
        <v>10.477150249517264</v>
      </c>
      <c r="U163" s="84">
        <f>100*(F163+P163)/([8]Cartera_Bruta!G164+'G2.4B'!P163)</f>
        <v>7.1964418449485548</v>
      </c>
      <c r="V163" s="48" t="str">
        <f t="shared" si="2"/>
        <v>F</v>
      </c>
    </row>
    <row r="164" spans="1:22" x14ac:dyDescent="0.3">
      <c r="A164" s="43">
        <f t="shared" si="3"/>
        <v>41000</v>
      </c>
      <c r="B164" s="83">
        <f>[8]Cartera_Vencida!B164</f>
        <v>3.4640040404170098</v>
      </c>
      <c r="C164" s="82">
        <f>[8]Cartera_Vencida!C164</f>
        <v>3.9488350540159796</v>
      </c>
      <c r="D164" s="82">
        <f>[8]Cartera_Vencida!D164</f>
        <v>1.5326402569464801</v>
      </c>
      <c r="E164" s="82">
        <f>[8]Cartera_Vencida!E164</f>
        <v>0.35542846713370696</v>
      </c>
      <c r="F164" s="84">
        <f>[8]Cartera_Vencida!F164</f>
        <v>9.3009078185131777</v>
      </c>
      <c r="G164" s="82">
        <f>100*B164/[8]Cartera_Bruta!B165</f>
        <v>2.1026671257435554</v>
      </c>
      <c r="H164" s="82">
        <f>100*C164/[8]Cartera_Bruta!C165</f>
        <v>4.9780259871707662</v>
      </c>
      <c r="I164" s="82">
        <f>100*D164/[8]Cartera_Bruta!D165</f>
        <v>5.8647859862347982</v>
      </c>
      <c r="J164" s="82">
        <f>100*E164/[8]Cartera_Bruta!F165</f>
        <v>4.6031800733515684</v>
      </c>
      <c r="K164" s="84">
        <f>+F164*100/[8]Cartera_Bruta!G165</f>
        <v>3.3465777683836149</v>
      </c>
      <c r="L164" s="62">
        <f>4724630503.00111/(10^9)</f>
        <v>4.7246305030011104</v>
      </c>
      <c r="M164" s="62">
        <f>6486736966.54296/(10^9)</f>
        <v>6.4867369665429599</v>
      </c>
      <c r="N164" s="62">
        <f>417340887.009726/(10^9)</f>
        <v>0.41734088700972599</v>
      </c>
      <c r="O164" s="62">
        <f>559875781.747917/(10^9)</f>
        <v>0.55987578174791708</v>
      </c>
      <c r="P164" s="84">
        <f t="shared" si="4"/>
        <v>12.188584138301714</v>
      </c>
      <c r="Q164" s="83">
        <f>100*(B164+L164)/([8]Cartera_Bruta!B165+'G2.4B'!L164)</f>
        <v>4.8319659141515494</v>
      </c>
      <c r="R164" s="82">
        <f>100*(C164+M164)/([8]Cartera_Bruta!C165+'G2.4B'!M164)</f>
        <v>12.160962416009763</v>
      </c>
      <c r="S164" s="82">
        <f>100*(D164+N164)/([8]Cartera_Bruta!D165+'G2.4B'!N164)</f>
        <v>7.3444875646640462</v>
      </c>
      <c r="T164" s="82">
        <f>100*(E164+O164)/([8]Cartera_Bruta!F165+'G2.4B'!O164)</f>
        <v>11.052739026757331</v>
      </c>
      <c r="U164" s="84">
        <f>100*(F164+P164)/([8]Cartera_Bruta!G165+'G2.4B'!P164)</f>
        <v>7.4073206586637994</v>
      </c>
      <c r="V164" s="48" t="str">
        <f t="shared" si="2"/>
        <v>F</v>
      </c>
    </row>
    <row r="165" spans="1:22" x14ac:dyDescent="0.3">
      <c r="A165" s="43">
        <f t="shared" si="3"/>
        <v>41030</v>
      </c>
      <c r="B165" s="83">
        <f>[8]Cartera_Vencida!B165</f>
        <v>3.3623201970748902</v>
      </c>
      <c r="C165" s="82">
        <f>[8]Cartera_Vencida!C165</f>
        <v>3.9946555435454796</v>
      </c>
      <c r="D165" s="82">
        <f>[8]Cartera_Vencida!D165</f>
        <v>1.50887778028939</v>
      </c>
      <c r="E165" s="82">
        <f>[8]Cartera_Vencida!E165</f>
        <v>0.36381146738613201</v>
      </c>
      <c r="F165" s="84">
        <f>[8]Cartera_Vencida!F165</f>
        <v>9.229664988295891</v>
      </c>
      <c r="G165" s="82">
        <f>100*B165/[8]Cartera_Bruta!B166</f>
        <v>2.0131544628114204</v>
      </c>
      <c r="H165" s="82">
        <f>100*C165/[8]Cartera_Bruta!C166</f>
        <v>4.9675210739484585</v>
      </c>
      <c r="I165" s="82">
        <f>100*D165/[8]Cartera_Bruta!D166</f>
        <v>5.7502896755336561</v>
      </c>
      <c r="J165" s="82">
        <f>100*E165/[8]Cartera_Bruta!F166</f>
        <v>4.6550327869775394</v>
      </c>
      <c r="K165" s="84">
        <f>+F165*100/[8]Cartera_Bruta!G166</f>
        <v>3.2788788247183147</v>
      </c>
      <c r="L165" s="62">
        <f>4756815380.52187/(10^9)</f>
        <v>4.7568153805218696</v>
      </c>
      <c r="M165" s="62">
        <f>6473820424.34688/(10^9)</f>
        <v>6.4738204243468802</v>
      </c>
      <c r="N165" s="62">
        <f>414518328.027316/(10^9)</f>
        <v>0.41451832802731597</v>
      </c>
      <c r="O165" s="62">
        <f>565157740.264546/(10^9)</f>
        <v>0.56515774026454602</v>
      </c>
      <c r="P165" s="84">
        <f t="shared" si="4"/>
        <v>12.210311873160613</v>
      </c>
      <c r="Q165" s="83">
        <f>100*(B165+L165)/([8]Cartera_Bruta!B166+'G2.4B'!L165)</f>
        <v>4.7266296450887149</v>
      </c>
      <c r="R165" s="82">
        <f>100*(C165+M165)/([8]Cartera_Bruta!C166+'G2.4B'!M165)</f>
        <v>12.048062096735585</v>
      </c>
      <c r="S165" s="82">
        <f>100*(D165+N165)/([8]Cartera_Bruta!D166+'G2.4B'!N165)</f>
        <v>7.2160144265100463</v>
      </c>
      <c r="T165" s="82">
        <f>100*(E165+O165)/([8]Cartera_Bruta!F166+'G2.4B'!O165)</f>
        <v>11.084755820895836</v>
      </c>
      <c r="U165" s="84">
        <f>100*(F165+P165)/([8]Cartera_Bruta!G166+'G2.4B'!P165)</f>
        <v>7.2999889934568838</v>
      </c>
      <c r="V165" s="48" t="str">
        <f t="shared" si="2"/>
        <v>F</v>
      </c>
    </row>
    <row r="166" spans="1:22" x14ac:dyDescent="0.3">
      <c r="A166" s="43">
        <f t="shared" si="3"/>
        <v>41061</v>
      </c>
      <c r="B166" s="83">
        <f>[8]Cartera_Vencida!B166</f>
        <v>3.3001408729149899</v>
      </c>
      <c r="C166" s="82">
        <f>[8]Cartera_Vencida!C166</f>
        <v>4.0311758596757699</v>
      </c>
      <c r="D166" s="82">
        <f>[8]Cartera_Vencida!D166</f>
        <v>1.49473076327724</v>
      </c>
      <c r="E166" s="82">
        <f>[8]Cartera_Vencida!E166</f>
        <v>0.37534900156780798</v>
      </c>
      <c r="F166" s="84">
        <f>[8]Cartera_Vencida!F166</f>
        <v>9.2013964974358071</v>
      </c>
      <c r="G166" s="82">
        <f>100*B166/[8]Cartera_Bruta!B167</f>
        <v>1.9589434110262807</v>
      </c>
      <c r="H166" s="82">
        <f>100*C166/[8]Cartera_Bruta!C167</f>
        <v>4.9551312117438515</v>
      </c>
      <c r="I166" s="82">
        <f>100*D166/[8]Cartera_Bruta!D167</f>
        <v>5.5814470451923857</v>
      </c>
      <c r="J166" s="82">
        <f>100*E166/[8]Cartera_Bruta!F167</f>
        <v>4.7274926225398035</v>
      </c>
      <c r="K166" s="84">
        <f>+F166*100/[8]Cartera_Bruta!G167</f>
        <v>3.2337913730064125</v>
      </c>
      <c r="L166" s="62">
        <f>4768159631.54944/(10^9)</f>
        <v>4.7681596315494401</v>
      </c>
      <c r="M166" s="62">
        <f>6490874586.08665/(10^9)</f>
        <v>6.4908745860866501</v>
      </c>
      <c r="N166" s="62">
        <f>410355066.502099/(10^9)</f>
        <v>0.41035506650209896</v>
      </c>
      <c r="O166" s="62">
        <f>582587093.357288/(10^9)</f>
        <v>0.58258709335728798</v>
      </c>
      <c r="P166" s="84">
        <f t="shared" si="4"/>
        <v>12.251976377495478</v>
      </c>
      <c r="Q166" s="83">
        <f>100*(B166+L166)/([8]Cartera_Bruta!B167+'G2.4B'!L166)</f>
        <v>4.6574710190085371</v>
      </c>
      <c r="R166" s="82">
        <f>100*(C166+M166)/([8]Cartera_Bruta!C167+'G2.4B'!M166)</f>
        <v>11.978049574338007</v>
      </c>
      <c r="S166" s="82">
        <f>100*(D166+N166)/([8]Cartera_Bruta!D167+'G2.4B'!N166)</f>
        <v>7.0063876231668729</v>
      </c>
      <c r="T166" s="82">
        <f>100*(E166+O166)/([8]Cartera_Bruta!F167+'G2.4B'!O166)</f>
        <v>11.240356525207757</v>
      </c>
      <c r="U166" s="84">
        <f>100*(F166+P166)/([8]Cartera_Bruta!G167+'G2.4B'!P166)</f>
        <v>7.2284459855221863</v>
      </c>
      <c r="V166" s="48" t="str">
        <f t="shared" si="2"/>
        <v>F</v>
      </c>
    </row>
    <row r="167" spans="1:22" x14ac:dyDescent="0.3">
      <c r="A167" s="43">
        <f t="shared" si="3"/>
        <v>41091</v>
      </c>
      <c r="B167" s="83">
        <f>[8]Cartera_Vencida!B167</f>
        <v>3.64862407923688</v>
      </c>
      <c r="C167" s="82">
        <f>[8]Cartera_Vencida!C167</f>
        <v>4.03906879339368</v>
      </c>
      <c r="D167" s="82">
        <f>[8]Cartera_Vencida!D167</f>
        <v>1.4530033345208999</v>
      </c>
      <c r="E167" s="82">
        <f>[8]Cartera_Vencida!E167</f>
        <v>0.39114322665271001</v>
      </c>
      <c r="F167" s="84">
        <f>[8]Cartera_Vencida!F167</f>
        <v>9.531839433804171</v>
      </c>
      <c r="G167" s="82">
        <f>100*B167/[8]Cartera_Bruta!B168</f>
        <v>2.141428295502283</v>
      </c>
      <c r="H167" s="82">
        <f>100*C167/[8]Cartera_Bruta!C168</f>
        <v>4.9027177257064665</v>
      </c>
      <c r="I167" s="82">
        <f>100*D167/[8]Cartera_Bruta!D168</f>
        <v>5.4871366682239957</v>
      </c>
      <c r="J167" s="82">
        <f>100*E167/[8]Cartera_Bruta!F168</f>
        <v>4.840351516197086</v>
      </c>
      <c r="K167" s="84">
        <f>+F167*100/[8]Cartera_Bruta!G168</f>
        <v>3.3174062237122199</v>
      </c>
      <c r="L167" s="62">
        <f>4821044145.36039/(10^9)</f>
        <v>4.8210441453603901</v>
      </c>
      <c r="M167" s="62">
        <f>6649952814.60034/(10^9)</f>
        <v>6.6499528146003399</v>
      </c>
      <c r="N167" s="62">
        <f>409213156.555178/(10^9)</f>
        <v>0.40921315655517798</v>
      </c>
      <c r="O167" s="62">
        <f>590762112.707365/(10^9)</f>
        <v>0.59076211270736501</v>
      </c>
      <c r="P167" s="84">
        <f t="shared" si="4"/>
        <v>12.470972229223273</v>
      </c>
      <c r="Q167" s="83">
        <f>100*(B167+L167)/([8]Cartera_Bruta!B168+'G2.4B'!L167)</f>
        <v>4.834181264887718</v>
      </c>
      <c r="R167" s="82">
        <f>100*(C167+M167)/([8]Cartera_Bruta!C168+'G2.4B'!M167)</f>
        <v>12.005518594749448</v>
      </c>
      <c r="S167" s="82">
        <f>100*(D167+N167)/([8]Cartera_Bruta!D168+'G2.4B'!N167)</f>
        <v>6.9254702006469779</v>
      </c>
      <c r="T167" s="82">
        <f>100*(E167+O167)/([8]Cartera_Bruta!F168+'G2.4B'!O167)</f>
        <v>11.323170292009562</v>
      </c>
      <c r="U167" s="84">
        <f>100*(F167+P167)/([8]Cartera_Bruta!G168+'G2.4B'!P167)</f>
        <v>7.3391866604206202</v>
      </c>
      <c r="V167" s="48" t="str">
        <f t="shared" si="2"/>
        <v>F</v>
      </c>
    </row>
    <row r="168" spans="1:22" x14ac:dyDescent="0.3">
      <c r="A168" s="43">
        <f t="shared" si="3"/>
        <v>41122</v>
      </c>
      <c r="B168" s="83">
        <f>[8]Cartera_Vencida!B168</f>
        <v>3.4815166878336301</v>
      </c>
      <c r="C168" s="82">
        <f>[8]Cartera_Vencida!C168</f>
        <v>4.0906415898212298</v>
      </c>
      <c r="D168" s="82">
        <f>[8]Cartera_Vencida!D168</f>
        <v>1.5094269389730899</v>
      </c>
      <c r="E168" s="82">
        <f>[8]Cartera_Vencida!E168</f>
        <v>0.40633991970176797</v>
      </c>
      <c r="F168" s="84">
        <f>[8]Cartera_Vencida!F168</f>
        <v>9.4879251363297179</v>
      </c>
      <c r="G168" s="82">
        <f>100*B168/[8]Cartera_Bruta!B169</f>
        <v>2.0332471899391109</v>
      </c>
      <c r="H168" s="82">
        <f>100*C168/[8]Cartera_Bruta!C169</f>
        <v>4.9001985529097887</v>
      </c>
      <c r="I168" s="82">
        <f>100*D168/[8]Cartera_Bruta!D169</f>
        <v>5.6427531944043627</v>
      </c>
      <c r="J168" s="82">
        <f>100*E168/[8]Cartera_Bruta!F169</f>
        <v>4.926184360558401</v>
      </c>
      <c r="K168" s="84">
        <f>+F168*100/[8]Cartera_Bruta!G169</f>
        <v>3.2750084614305344</v>
      </c>
      <c r="L168" s="62">
        <f>4850541060.24179/(10^9)</f>
        <v>4.85054106024179</v>
      </c>
      <c r="M168" s="62">
        <f>6729159148.30086/(10^9)</f>
        <v>6.7291591483008606</v>
      </c>
      <c r="N168" s="62">
        <f>405271712.363301/(10^9)</f>
        <v>0.40527171236330101</v>
      </c>
      <c r="O168" s="62">
        <f>597438024.935433/(10^9)</f>
        <v>0.59743802493543308</v>
      </c>
      <c r="P168" s="84">
        <f t="shared" si="4"/>
        <v>12.582409945841386</v>
      </c>
      <c r="Q168" s="83">
        <f>100*(B168+L168)/([8]Cartera_Bruta!B169+'G2.4B'!L168)</f>
        <v>4.7319747725248096</v>
      </c>
      <c r="R168" s="82">
        <f>100*(C168+M168)/([8]Cartera_Bruta!C169+'G2.4B'!M168)</f>
        <v>11.994246411606539</v>
      </c>
      <c r="S168" s="82">
        <f>100*(D168+N168)/([8]Cartera_Bruta!D169+'G2.4B'!N168)</f>
        <v>7.0509718816466087</v>
      </c>
      <c r="T168" s="82">
        <f>100*(E168+O168)/([8]Cartera_Bruta!F169+'G2.4B'!O168)</f>
        <v>11.347238055547217</v>
      </c>
      <c r="U168" s="84">
        <f>100*(F168+P168)/([8]Cartera_Bruta!G169+'G2.4B'!P168)</f>
        <v>7.3010639611732371</v>
      </c>
      <c r="V168" s="48" t="str">
        <f t="shared" si="2"/>
        <v>F</v>
      </c>
    </row>
    <row r="169" spans="1:22" x14ac:dyDescent="0.3">
      <c r="A169" s="43">
        <f t="shared" si="3"/>
        <v>41153</v>
      </c>
      <c r="B169" s="83">
        <f>[8]Cartera_Vencida!B169</f>
        <v>3.45707390739926</v>
      </c>
      <c r="C169" s="82">
        <f>[8]Cartera_Vencida!C169</f>
        <v>4.1936221499525903</v>
      </c>
      <c r="D169" s="82">
        <f>[8]Cartera_Vencida!D169</f>
        <v>1.5500551372320499</v>
      </c>
      <c r="E169" s="82">
        <f>[8]Cartera_Vencida!E169</f>
        <v>0.427640399133218</v>
      </c>
      <c r="F169" s="84">
        <f>[8]Cartera_Vencida!F169</f>
        <v>9.6283915937171169</v>
      </c>
      <c r="G169" s="82">
        <f>100*B169/[8]Cartera_Bruta!B170</f>
        <v>2.0072216608938889</v>
      </c>
      <c r="H169" s="82">
        <f>100*C169/[8]Cartera_Bruta!C170</f>
        <v>4.9834934671980005</v>
      </c>
      <c r="I169" s="82">
        <f>100*D169/[8]Cartera_Bruta!D170</f>
        <v>5.674578270900164</v>
      </c>
      <c r="J169" s="82">
        <f>100*E169/[8]Cartera_Bruta!F170</f>
        <v>5.0975614837989163</v>
      </c>
      <c r="K169" s="84">
        <f>+F169*100/[8]Cartera_Bruta!G170</f>
        <v>3.2964129285364159</v>
      </c>
      <c r="L169" s="62">
        <f>4898833487.41042/(10^9)</f>
        <v>4.8988334874104202</v>
      </c>
      <c r="M169" s="62">
        <f>6952554670.74643/(10^9)</f>
        <v>6.9525546707464301</v>
      </c>
      <c r="N169" s="62">
        <f>394227821.401218/(10^9)</f>
        <v>0.39422782140121798</v>
      </c>
      <c r="O169" s="62">
        <f>607030421.084575/(10^9)</f>
        <v>0.60703042108457506</v>
      </c>
      <c r="P169" s="84">
        <f t="shared" si="4"/>
        <v>12.852646400642644</v>
      </c>
      <c r="Q169" s="83">
        <f>100*(B169+L169)/([8]Cartera_Bruta!B170+'G2.4B'!L169)</f>
        <v>4.7173701351435264</v>
      </c>
      <c r="R169" s="82">
        <f>100*(C169+M169)/([8]Cartera_Bruta!C170+'G2.4B'!M169)</f>
        <v>12.234724289544719</v>
      </c>
      <c r="S169" s="82">
        <f>100*(D169+N169)/([8]Cartera_Bruta!D170+'G2.4B'!N169)</f>
        <v>7.0165378252938178</v>
      </c>
      <c r="T169" s="82">
        <f>100*(E169+O169)/([8]Cartera_Bruta!F170+'G2.4B'!O169)</f>
        <v>11.501265675474315</v>
      </c>
      <c r="U169" s="84">
        <f>100*(F169+P169)/([8]Cartera_Bruta!G170+'G2.4B'!P169)</f>
        <v>7.3722924569049111</v>
      </c>
      <c r="V169" s="48" t="str">
        <f t="shared" si="2"/>
        <v>F</v>
      </c>
    </row>
    <row r="170" spans="1:22" x14ac:dyDescent="0.3">
      <c r="A170" s="43">
        <f t="shared" si="3"/>
        <v>41183</v>
      </c>
      <c r="B170" s="83">
        <f>[8]Cartera_Vencida!B170</f>
        <v>3.4499392751347697</v>
      </c>
      <c r="C170" s="82">
        <f>[8]Cartera_Vencida!C170</f>
        <v>4.2400126943359</v>
      </c>
      <c r="D170" s="82">
        <f>[8]Cartera_Vencida!D170</f>
        <v>1.50420581764828</v>
      </c>
      <c r="E170" s="82">
        <f>[8]Cartera_Vencida!E170</f>
        <v>0.43636291203196298</v>
      </c>
      <c r="F170" s="84">
        <f>[8]Cartera_Vencida!F170</f>
        <v>9.6305206991509138</v>
      </c>
      <c r="G170" s="82">
        <f>100*B170/[8]Cartera_Bruta!B171</f>
        <v>1.9845892335452433</v>
      </c>
      <c r="H170" s="82">
        <f>100*C170/[8]Cartera_Bruta!C171</f>
        <v>4.9803363589752401</v>
      </c>
      <c r="I170" s="82">
        <f>100*D170/[8]Cartera_Bruta!D171</f>
        <v>5.389637533082702</v>
      </c>
      <c r="J170" s="82">
        <f>100*E170/[8]Cartera_Bruta!F171</f>
        <v>5.0917194681825189</v>
      </c>
      <c r="K170" s="84">
        <f>+F170*100/[8]Cartera_Bruta!G171</f>
        <v>3.2596024202061464</v>
      </c>
      <c r="L170" s="62">
        <f>4935197164.85017/(10^9)</f>
        <v>4.9351971648501705</v>
      </c>
      <c r="M170" s="62">
        <f>6862698095.77421/(10^9)</f>
        <v>6.8626980957742099</v>
      </c>
      <c r="N170" s="62">
        <f>384439570.599486/(10^9)</f>
        <v>0.38443957059948597</v>
      </c>
      <c r="O170" s="62">
        <f>617942355.228545/(10^9)</f>
        <v>0.6179423552285449</v>
      </c>
      <c r="P170" s="84">
        <f t="shared" si="4"/>
        <v>12.80027718645241</v>
      </c>
      <c r="Q170" s="83">
        <f>100*(B170+L170)/([8]Cartera_Bruta!B171+'G2.4B'!L170)</f>
        <v>4.6904176557716601</v>
      </c>
      <c r="R170" s="82">
        <f>100*(C170+M170)/([8]Cartera_Bruta!C171+'G2.4B'!M170)</f>
        <v>12.06845707901541</v>
      </c>
      <c r="S170" s="82">
        <f>100*(D170+N170)/([8]Cartera_Bruta!D171+'G2.4B'!N170)</f>
        <v>6.675154046821361</v>
      </c>
      <c r="T170" s="82">
        <f>100*(E170+O170)/([8]Cartera_Bruta!F171+'G2.4B'!O170)</f>
        <v>11.474816358518691</v>
      </c>
      <c r="U170" s="84">
        <f>100*(F170+P170)/([8]Cartera_Bruta!G171+'G2.4B'!P170)</f>
        <v>7.2767951748664368</v>
      </c>
      <c r="V170" s="48" t="str">
        <f t="shared" si="2"/>
        <v>F</v>
      </c>
    </row>
    <row r="171" spans="1:22" x14ac:dyDescent="0.3">
      <c r="A171" s="43">
        <f t="shared" si="3"/>
        <v>41214</v>
      </c>
      <c r="B171" s="83">
        <f>[8]Cartera_Vencida!B171</f>
        <v>3.63308311900682</v>
      </c>
      <c r="C171" s="82">
        <f>[8]Cartera_Vencida!C171</f>
        <v>4.3579408412299205</v>
      </c>
      <c r="D171" s="82">
        <f>[8]Cartera_Vencida!D171</f>
        <v>1.63846843564268</v>
      </c>
      <c r="E171" s="82">
        <f>[8]Cartera_Vencida!E171</f>
        <v>0.462353956069116</v>
      </c>
      <c r="F171" s="84">
        <f>[8]Cartera_Vencida!F171</f>
        <v>10.091846351948536</v>
      </c>
      <c r="G171" s="82">
        <f>100*B171/[8]Cartera_Bruta!B172</f>
        <v>2.0384770102737759</v>
      </c>
      <c r="H171" s="82">
        <f>100*C171/[8]Cartera_Bruta!C172</f>
        <v>5.0413472906564243</v>
      </c>
      <c r="I171" s="82">
        <f>100*D171/[8]Cartera_Bruta!D172</f>
        <v>5.7213009674812554</v>
      </c>
      <c r="J171" s="82">
        <f>100*E171/[8]Cartera_Bruta!F172</f>
        <v>5.3131688483458452</v>
      </c>
      <c r="K171" s="84">
        <f>+F171*100/[8]Cartera_Bruta!G172</f>
        <v>3.3415667955995363</v>
      </c>
      <c r="L171" s="62">
        <f>4915462384.88893/(10^9)</f>
        <v>4.9154623848889303</v>
      </c>
      <c r="M171" s="62">
        <f>6886573914.49141/(10^9)</f>
        <v>6.88657391449141</v>
      </c>
      <c r="N171" s="62">
        <f>376804725.310387/(10^9)</f>
        <v>0.376804725310387</v>
      </c>
      <c r="O171" s="62">
        <f>626837923.203894/(10^9)</f>
        <v>0.62683792320389398</v>
      </c>
      <c r="P171" s="84">
        <f t="shared" si="4"/>
        <v>12.805678947894622</v>
      </c>
      <c r="Q171" s="83">
        <f>100*(B171+L171)/([8]Cartera_Bruta!B172+'G2.4B'!L171)</f>
        <v>4.6677442513093323</v>
      </c>
      <c r="R171" s="82">
        <f>100*(C171+M171)/([8]Cartera_Bruta!C172+'G2.4B'!M171)</f>
        <v>12.048054196467694</v>
      </c>
      <c r="S171" s="82">
        <f>100*(D171+N171)/([8]Cartera_Bruta!D172+'G2.4B'!N171)</f>
        <v>6.9456625017342342</v>
      </c>
      <c r="T171" s="82">
        <f>100*(E171+O171)/([8]Cartera_Bruta!F172+'G2.4B'!O171)</f>
        <v>11.675489347894167</v>
      </c>
      <c r="U171" s="84">
        <f>100*(F171+P171)/([8]Cartera_Bruta!G172+'G2.4B'!P171)</f>
        <v>7.2733251025519019</v>
      </c>
      <c r="V171" s="48" t="str">
        <f t="shared" si="2"/>
        <v>F</v>
      </c>
    </row>
    <row r="172" spans="1:22" x14ac:dyDescent="0.3">
      <c r="A172" s="43">
        <f t="shared" si="3"/>
        <v>41244</v>
      </c>
      <c r="B172" s="83">
        <f>[8]Cartera_Vencida!B172</f>
        <v>3.4779108473779301</v>
      </c>
      <c r="C172" s="82">
        <f>[8]Cartera_Vencida!C172</f>
        <v>4.1890704034493496</v>
      </c>
      <c r="D172" s="82">
        <f>[8]Cartera_Vencida!D172</f>
        <v>1.5517117502925799</v>
      </c>
      <c r="E172" s="82">
        <f>[8]Cartera_Vencida!E172</f>
        <v>0.45689794885937601</v>
      </c>
      <c r="F172" s="84">
        <f>[8]Cartera_Vencida!F172</f>
        <v>9.6755909499792363</v>
      </c>
      <c r="G172" s="82">
        <f>100*B172/[8]Cartera_Bruta!B173</f>
        <v>1.9190519816973843</v>
      </c>
      <c r="H172" s="82">
        <f>100*C172/[8]Cartera_Bruta!C173</f>
        <v>4.8004437789620278</v>
      </c>
      <c r="I172" s="82">
        <f>100*D172/[8]Cartera_Bruta!D173</f>
        <v>5.291604793091035</v>
      </c>
      <c r="J172" s="82">
        <f>100*E172/[8]Cartera_Bruta!F173</f>
        <v>5.2029523580738539</v>
      </c>
      <c r="K172" s="84">
        <f>+F172*100/[8]Cartera_Bruta!G173</f>
        <v>3.155765418888627</v>
      </c>
      <c r="L172" s="62">
        <f>4807739545.89044/(10^9)</f>
        <v>4.8077395458904402</v>
      </c>
      <c r="M172" s="62">
        <f>6363363723.59361/(10^9)</f>
        <v>6.3633637235936096</v>
      </c>
      <c r="N172" s="62">
        <f>369322569.851275/(10^9)</f>
        <v>0.36932256985127504</v>
      </c>
      <c r="O172" s="62">
        <f>649716892.269449/(10^9)</f>
        <v>0.64971689226944895</v>
      </c>
      <c r="P172" s="84">
        <f t="shared" si="4"/>
        <v>12.190142731604775</v>
      </c>
      <c r="Q172" s="83">
        <f>100*(B172+L172)/([8]Cartera_Bruta!B173+'G2.4B'!L172)</f>
        <v>4.4537309366232272</v>
      </c>
      <c r="R172" s="82">
        <f>100*(C172+M172)/([8]Cartera_Bruta!C173+'G2.4B'!M172)</f>
        <v>11.270645186080907</v>
      </c>
      <c r="S172" s="82">
        <f>100*(D172+N172)/([8]Cartera_Bruta!D173+'G2.4B'!N172)</f>
        <v>6.469577149588229</v>
      </c>
      <c r="T172" s="82">
        <f>100*(E172+O172)/([8]Cartera_Bruta!F173+'G2.4B'!O172)</f>
        <v>11.733515444129283</v>
      </c>
      <c r="U172" s="84">
        <f>100*(F172+P172)/([8]Cartera_Bruta!G173+'G2.4B'!P172)</f>
        <v>6.8589645475936134</v>
      </c>
      <c r="V172" s="48" t="str">
        <f t="shared" si="2"/>
        <v>F</v>
      </c>
    </row>
    <row r="173" spans="1:22" x14ac:dyDescent="0.3">
      <c r="A173" s="43">
        <f t="shared" si="3"/>
        <v>41275</v>
      </c>
      <c r="B173" s="83">
        <f>[8]Cartera_Vencida!B173</f>
        <v>3.81117170163445</v>
      </c>
      <c r="C173" s="82">
        <f>[8]Cartera_Vencida!C173</f>
        <v>4.3378986017299006</v>
      </c>
      <c r="D173" s="82">
        <f>[8]Cartera_Vencida!D173</f>
        <v>1.61258950371723</v>
      </c>
      <c r="E173" s="82">
        <f>[8]Cartera_Vencida!E173</f>
        <v>0.47986150098970598</v>
      </c>
      <c r="F173" s="84">
        <f>[8]Cartera_Vencida!F173</f>
        <v>10.241521308071286</v>
      </c>
      <c r="G173" s="82">
        <f>100*B173/[8]Cartera_Bruta!B174</f>
        <v>2.1180406801939653</v>
      </c>
      <c r="H173" s="82">
        <f>100*C173/[8]Cartera_Bruta!C174</f>
        <v>4.958506033470127</v>
      </c>
      <c r="I173" s="82">
        <f>100*D173/[8]Cartera_Bruta!D174</f>
        <v>5.4237336928556816</v>
      </c>
      <c r="J173" s="82">
        <f>100*E173/[8]Cartera_Bruta!F174</f>
        <v>5.4341694168594277</v>
      </c>
      <c r="K173" s="84">
        <f>+F173*100/[8]Cartera_Bruta!G174</f>
        <v>3.3470656471866422</v>
      </c>
      <c r="L173" s="62">
        <f>4854594097.98409/(10^9)</f>
        <v>4.8545940979840898</v>
      </c>
      <c r="M173" s="62">
        <f>6592233514.99447/(10^9)</f>
        <v>6.5922335149944695</v>
      </c>
      <c r="N173" s="62">
        <f>368591679.086292/(10^9)</f>
        <v>0.36859167908629203</v>
      </c>
      <c r="O173" s="62">
        <f>658897083.993324/(10^9)</f>
        <v>0.65889708399332403</v>
      </c>
      <c r="P173" s="84">
        <f t="shared" si="4"/>
        <v>12.474316376058175</v>
      </c>
      <c r="Q173" s="83">
        <f>100*(B173+L173)/([8]Cartera_Bruta!B174+'G2.4B'!L173)</f>
        <v>4.6894411654221351</v>
      </c>
      <c r="R173" s="82">
        <f>100*(C173+M173)/([8]Cartera_Bruta!C174+'G2.4B'!M173)</f>
        <v>11.618379713675544</v>
      </c>
      <c r="S173" s="82">
        <f>100*(D173+N173)/([8]Cartera_Bruta!D174+'G2.4B'!N173)</f>
        <v>6.5818477379850577</v>
      </c>
      <c r="T173" s="82">
        <f>100*(E173+O173)/([8]Cartera_Bruta!F174+'G2.4B'!O173)</f>
        <v>12.000391837887371</v>
      </c>
      <c r="U173" s="84">
        <f>100*(F173+P173)/([8]Cartera_Bruta!G174+'G2.4B'!P173)</f>
        <v>7.1330406161064408</v>
      </c>
      <c r="V173" s="48" t="str">
        <f t="shared" si="2"/>
        <v>F</v>
      </c>
    </row>
    <row r="174" spans="1:22" x14ac:dyDescent="0.3">
      <c r="A174" s="43">
        <f t="shared" si="3"/>
        <v>41306</v>
      </c>
      <c r="B174" s="83">
        <f>[8]Cartera_Vencida!B174</f>
        <v>3.7750744188144103</v>
      </c>
      <c r="C174" s="82">
        <f>[8]Cartera_Vencida!C174</f>
        <v>4.52893963339623</v>
      </c>
      <c r="D174" s="82">
        <f>[8]Cartera_Vencida!D174</f>
        <v>1.6178644722420101</v>
      </c>
      <c r="E174" s="82">
        <f>[8]Cartera_Vencida!E174</f>
        <v>0.50627220214505897</v>
      </c>
      <c r="F174" s="84">
        <f>[8]Cartera_Vencida!F174</f>
        <v>10.428150726597709</v>
      </c>
      <c r="G174" s="82">
        <f>100*B174/[8]Cartera_Bruta!B175</f>
        <v>2.0912169871591875</v>
      </c>
      <c r="H174" s="82">
        <f>100*C174/[8]Cartera_Bruta!C175</f>
        <v>5.1691955461260006</v>
      </c>
      <c r="I174" s="82">
        <f>100*D174/[8]Cartera_Bruta!D175</f>
        <v>5.3752000924521228</v>
      </c>
      <c r="J174" s="82">
        <f>100*E174/[8]Cartera_Bruta!F175</f>
        <v>5.7088306293429021</v>
      </c>
      <c r="K174" s="84">
        <f>+F174*100/[8]Cartera_Bruta!G175</f>
        <v>3.3956704151778423</v>
      </c>
      <c r="L174" s="62">
        <f>4861225773.93155/(10^9)</f>
        <v>4.8612257739315501</v>
      </c>
      <c r="M174" s="62">
        <f>6778562642.10096/(10^9)</f>
        <v>6.7785626421009599</v>
      </c>
      <c r="N174" s="62">
        <f>366042735.847759/(10^9)</f>
        <v>0.36604273584775898</v>
      </c>
      <c r="O174" s="62">
        <f>666890521.130268/(10^9)</f>
        <v>0.66689052113026803</v>
      </c>
      <c r="P174" s="84">
        <f t="shared" si="4"/>
        <v>12.672721673010537</v>
      </c>
      <c r="Q174" s="83">
        <f>100*(B174+L174)/([8]Cartera_Bruta!B175+'G2.4B'!L174)</f>
        <v>4.6586589138176713</v>
      </c>
      <c r="R174" s="82">
        <f>100*(C174+M174)/([8]Cartera_Bruta!C175+'G2.4B'!M174)</f>
        <v>11.979228509320768</v>
      </c>
      <c r="S174" s="82">
        <f>100*(D174+N174)/([8]Cartera_Bruta!D175+'G2.4B'!N174)</f>
        <v>6.5121451672353414</v>
      </c>
      <c r="T174" s="82">
        <f>100*(E174+O174)/([8]Cartera_Bruta!F175+'G2.4B'!O174)</f>
        <v>12.303596811703489</v>
      </c>
      <c r="U174" s="84">
        <f>100*(F174+P174)/([8]Cartera_Bruta!G175+'G2.4B'!P174)</f>
        <v>7.2241223517974475</v>
      </c>
      <c r="V174" s="48" t="str">
        <f t="shared" si="2"/>
        <v>F</v>
      </c>
    </row>
    <row r="175" spans="1:22" x14ac:dyDescent="0.3">
      <c r="A175" s="43">
        <f t="shared" si="3"/>
        <v>41334</v>
      </c>
      <c r="B175" s="83">
        <f>[8]Cartera_Vencida!B175</f>
        <v>4.0440337343013502</v>
      </c>
      <c r="C175" s="82">
        <f>[8]Cartera_Vencida!C175</f>
        <v>4.8131802012859897</v>
      </c>
      <c r="D175" s="82">
        <f>[8]Cartera_Vencida!D175</f>
        <v>1.7705568696638001</v>
      </c>
      <c r="E175" s="82">
        <f>[8]Cartera_Vencida!E175</f>
        <v>0.54841552321778797</v>
      </c>
      <c r="F175" s="84">
        <f>[8]Cartera_Vencida!F175</f>
        <v>11.176186328468926</v>
      </c>
      <c r="G175" s="82">
        <f>100*B175/[8]Cartera_Bruta!B176</f>
        <v>2.2254276040935146</v>
      </c>
      <c r="H175" s="82">
        <f>100*C175/[8]Cartera_Bruta!C176</f>
        <v>5.4651012416552973</v>
      </c>
      <c r="I175" s="82">
        <f>100*D175/[8]Cartera_Bruta!D176</f>
        <v>5.7916599763283392</v>
      </c>
      <c r="J175" s="82">
        <f>100*E175/[8]Cartera_Bruta!F176</f>
        <v>6.1339227370390006</v>
      </c>
      <c r="K175" s="84">
        <f>+F175*100/[8]Cartera_Bruta!G176</f>
        <v>3.6133560996443292</v>
      </c>
      <c r="L175" s="62">
        <f>4888687377.07248/(10^9)</f>
        <v>4.8886873770724799</v>
      </c>
      <c r="M175" s="62">
        <f>6644941283.46408/(10^9)</f>
        <v>6.64494128346408</v>
      </c>
      <c r="N175" s="62">
        <f>365821295.871191/(10^9)</f>
        <v>0.365821295871191</v>
      </c>
      <c r="O175" s="62">
        <f>676107385.60703/(10^9)</f>
        <v>0.67610738560702999</v>
      </c>
      <c r="P175" s="84">
        <f t="shared" si="4"/>
        <v>12.575557342014783</v>
      </c>
      <c r="Q175" s="83">
        <f>100*(B175+L175)/([8]Cartera_Bruta!B176+'G2.4B'!L175)</f>
        <v>4.7868884681061523</v>
      </c>
      <c r="R175" s="82">
        <f>100*(C175+M175)/([8]Cartera_Bruta!C176+'G2.4B'!M175)</f>
        <v>12.097327261937464</v>
      </c>
      <c r="S175" s="82">
        <f>100*(D175+N175)/([8]Cartera_Bruta!D176+'G2.4B'!N175)</f>
        <v>6.9056606013416344</v>
      </c>
      <c r="T175" s="82">
        <f>100*(E175+O175)/([8]Cartera_Bruta!F176+'G2.4B'!O175)</f>
        <v>12.733156459331587</v>
      </c>
      <c r="U175" s="84">
        <f>100*(F175+P175)/([8]Cartera_Bruta!G176+'G2.4B'!P175)</f>
        <v>7.3791215586993211</v>
      </c>
      <c r="V175" s="48" t="str">
        <f t="shared" si="2"/>
        <v>F</v>
      </c>
    </row>
    <row r="176" spans="1:22" x14ac:dyDescent="0.3">
      <c r="A176" s="43">
        <f t="shared" si="3"/>
        <v>41365</v>
      </c>
      <c r="B176" s="83">
        <f>[8]Cartera_Vencida!B176</f>
        <v>4.2394747793305898</v>
      </c>
      <c r="C176" s="82">
        <f>[8]Cartera_Vencida!C176</f>
        <v>4.7441470836137105</v>
      </c>
      <c r="D176" s="82">
        <f>[8]Cartera_Vencida!D176</f>
        <v>1.72829242528174</v>
      </c>
      <c r="E176" s="82">
        <f>[8]Cartera_Vencida!E176</f>
        <v>0.5469741506209379</v>
      </c>
      <c r="F176" s="84">
        <f>[8]Cartera_Vencida!F176</f>
        <v>11.258888438846979</v>
      </c>
      <c r="G176" s="82">
        <f>100*B176/[8]Cartera_Bruta!B177</f>
        <v>2.3098032494887026</v>
      </c>
      <c r="H176" s="82">
        <f>100*C176/[8]Cartera_Bruta!C177</f>
        <v>5.3391048341757923</v>
      </c>
      <c r="I176" s="82">
        <f>100*D176/[8]Cartera_Bruta!D177</f>
        <v>5.5479604834755269</v>
      </c>
      <c r="J176" s="82">
        <f>100*E176/[8]Cartera_Bruta!F177</f>
        <v>6.0216578273712598</v>
      </c>
      <c r="K176" s="84">
        <f>+F176*100/[8]Cartera_Bruta!G177</f>
        <v>3.601293377287333</v>
      </c>
      <c r="L176" s="62">
        <f>4832942111.46397/(10^9)</f>
        <v>4.8329421114639706</v>
      </c>
      <c r="M176" s="62">
        <f>6684294751.07605/(10^9)</f>
        <v>6.6842947510760498</v>
      </c>
      <c r="N176" s="62">
        <f>361752724.567989/(10^9)</f>
        <v>0.36175272456798901</v>
      </c>
      <c r="O176" s="62">
        <f>681496236.43548/(10^9)</f>
        <v>0.68149623643547996</v>
      </c>
      <c r="P176" s="84">
        <f t="shared" si="4"/>
        <v>12.560485823543489</v>
      </c>
      <c r="Q176" s="83">
        <f>100*(B176+L176)/([8]Cartera_Bruta!B177+'G2.4B'!L176)</f>
        <v>4.8161310921013119</v>
      </c>
      <c r="R176" s="82">
        <f>100*(C176+M176)/([8]Cartera_Bruta!C177+'G2.4B'!M176)</f>
        <v>11.961832402318942</v>
      </c>
      <c r="S176" s="82">
        <f>100*(D176+N176)/([8]Cartera_Bruta!D177+'G2.4B'!N176)</f>
        <v>6.6321995985983264</v>
      </c>
      <c r="T176" s="82">
        <f>100*(E176+O176)/([8]Cartera_Bruta!F177+'G2.4B'!O176)</f>
        <v>12.580413893380324</v>
      </c>
      <c r="U176" s="84">
        <f>100*(F176+P176)/([8]Cartera_Bruta!G177+'G2.4B'!P176)</f>
        <v>7.3246419570339647</v>
      </c>
      <c r="V176" s="48" t="str">
        <f t="shared" si="2"/>
        <v>F</v>
      </c>
    </row>
    <row r="177" spans="1:22" x14ac:dyDescent="0.3">
      <c r="A177" s="43">
        <f t="shared" si="3"/>
        <v>41395</v>
      </c>
      <c r="B177" s="83">
        <f>[8]Cartera_Vencida!B177</f>
        <v>3.92206663005617</v>
      </c>
      <c r="C177" s="82">
        <f>[8]Cartera_Vencida!C177</f>
        <v>4.67914913450422</v>
      </c>
      <c r="D177" s="82">
        <f>[8]Cartera_Vencida!D177</f>
        <v>1.7504711268464899</v>
      </c>
      <c r="E177" s="82">
        <f>[8]Cartera_Vencida!E177</f>
        <v>0.55050418511360499</v>
      </c>
      <c r="F177" s="84">
        <f>[8]Cartera_Vencida!F177</f>
        <v>10.902191076520484</v>
      </c>
      <c r="G177" s="82">
        <f>100*B177/[8]Cartera_Bruta!B178</f>
        <v>2.1034746164108862</v>
      </c>
      <c r="H177" s="82">
        <f>100*C177/[8]Cartera_Bruta!C178</f>
        <v>5.2294902964146361</v>
      </c>
      <c r="I177" s="82">
        <f>100*D177/[8]Cartera_Bruta!D178</f>
        <v>5.5648925016594832</v>
      </c>
      <c r="J177" s="82">
        <f>100*E177/[8]Cartera_Bruta!F178</f>
        <v>5.9694077570789021</v>
      </c>
      <c r="K177" s="84">
        <f>+F177*100/[8]Cartera_Bruta!G178</f>
        <v>3.4434082150366705</v>
      </c>
      <c r="L177" s="62">
        <f>4814030634.89681/(10^9)</f>
        <v>4.8140306348968096</v>
      </c>
      <c r="M177" s="62">
        <f>6968930356.88802/(10^9)</f>
        <v>6.9689303568880199</v>
      </c>
      <c r="N177" s="62">
        <f>358799857.700987/(10^9)</f>
        <v>0.35879985770098699</v>
      </c>
      <c r="O177" s="62">
        <f>696997364.663077/(10^9)</f>
        <v>0.69699736466307705</v>
      </c>
      <c r="P177" s="84">
        <f t="shared" si="4"/>
        <v>12.838758214148893</v>
      </c>
      <c r="Q177" s="83">
        <f>100*(B177+L177)/([8]Cartera_Bruta!B178+'G2.4B'!L177)</f>
        <v>4.5674020029107281</v>
      </c>
      <c r="R177" s="82">
        <f>100*(C177+M177)/([8]Cartera_Bruta!C178+'G2.4B'!M177)</f>
        <v>12.077416030959553</v>
      </c>
      <c r="S177" s="82">
        <f>100*(D177+N177)/([8]Cartera_Bruta!D178+'G2.4B'!N177)</f>
        <v>6.6299224237164447</v>
      </c>
      <c r="T177" s="82">
        <f>100*(E177+O177)/([8]Cartera_Bruta!F178+'G2.4B'!O177)</f>
        <v>12.576776896967013</v>
      </c>
      <c r="U177" s="84">
        <f>100*(F177+P177)/([8]Cartera_Bruta!G178+'G2.4B'!P177)</f>
        <v>7.2062542445036701</v>
      </c>
      <c r="V177" s="48" t="str">
        <f t="shared" si="2"/>
        <v>F</v>
      </c>
    </row>
    <row r="178" spans="1:22" x14ac:dyDescent="0.3">
      <c r="A178" s="43">
        <f t="shared" si="3"/>
        <v>41426</v>
      </c>
      <c r="B178" s="83">
        <f>[8]Cartera_Vencida!B178</f>
        <v>3.8685748245696501</v>
      </c>
      <c r="C178" s="82">
        <f>[8]Cartera_Vencida!C178</f>
        <v>4.64997629541159</v>
      </c>
      <c r="D178" s="82">
        <f>[8]Cartera_Vencida!D178</f>
        <v>1.7433095508427401</v>
      </c>
      <c r="E178" s="82">
        <f>[8]Cartera_Vencida!E178</f>
        <v>0.56817713292341399</v>
      </c>
      <c r="F178" s="84">
        <f>[8]Cartera_Vencida!F178</f>
        <v>10.830037803747395</v>
      </c>
      <c r="G178" s="82">
        <f>100*B178/[8]Cartera_Bruta!B179</f>
        <v>2.0352422109273398</v>
      </c>
      <c r="H178" s="82">
        <f>100*C178/[8]Cartera_Bruta!C179</f>
        <v>5.1731840458289327</v>
      </c>
      <c r="I178" s="82">
        <f>100*D178/[8]Cartera_Bruta!D179</f>
        <v>5.4197946821567893</v>
      </c>
      <c r="J178" s="82">
        <f>100*E178/[8]Cartera_Bruta!F179</f>
        <v>6.0977208111722492</v>
      </c>
      <c r="K178" s="84">
        <f>+F178*100/[8]Cartera_Bruta!G179</f>
        <v>3.3691314749280115</v>
      </c>
      <c r="L178" s="62">
        <f>4856831601.24746/(10^9)</f>
        <v>4.8568316012474604</v>
      </c>
      <c r="M178" s="62">
        <f>7160426855.85333/(10^9)</f>
        <v>7.1604268558533297</v>
      </c>
      <c r="N178" s="62">
        <f>359698859.397196/(10^9)</f>
        <v>0.35969885939719598</v>
      </c>
      <c r="O178" s="62">
        <f>710439939.229047/(10^9)</f>
        <v>0.71043993922904691</v>
      </c>
      <c r="P178" s="84">
        <f t="shared" si="4"/>
        <v>13.087397255727035</v>
      </c>
      <c r="Q178" s="83">
        <f>100*(B178+L178)/([8]Cartera_Bruta!B179+'G2.4B'!L178)</f>
        <v>4.4760326707151785</v>
      </c>
      <c r="R178" s="82">
        <f>100*(C178+M178)/([8]Cartera_Bruta!C179+'G2.4B'!M178)</f>
        <v>12.1698289328929</v>
      </c>
      <c r="S178" s="82">
        <f>100*(D178+N178)/([8]Cartera_Bruta!D179+'G2.4B'!N178)</f>
        <v>6.4657617221871071</v>
      </c>
      <c r="T178" s="82">
        <f>100*(E178+O178)/([8]Cartera_Bruta!F179+'G2.4B'!O178)</f>
        <v>12.750087120985137</v>
      </c>
      <c r="U178" s="84">
        <f>100*(F178+P178)/([8]Cartera_Bruta!G179+'G2.4B'!P178)</f>
        <v>7.1494278998993774</v>
      </c>
      <c r="V178" s="48" t="str">
        <f t="shared" si="2"/>
        <v>F</v>
      </c>
    </row>
    <row r="179" spans="1:22" x14ac:dyDescent="0.3">
      <c r="A179" s="43">
        <f t="shared" si="3"/>
        <v>41456</v>
      </c>
      <c r="B179" s="83">
        <f>[8]Cartera_Vencida!B179</f>
        <v>3.9366295880427797</v>
      </c>
      <c r="C179" s="82">
        <f>[8]Cartera_Vencida!C179</f>
        <v>4.4165285682666902</v>
      </c>
      <c r="D179" s="82">
        <f>[8]Cartera_Vencida!D179</f>
        <v>1.6427940341030098</v>
      </c>
      <c r="E179" s="82">
        <f>[8]Cartera_Vencida!E179</f>
        <v>0.58270621902680508</v>
      </c>
      <c r="F179" s="84">
        <f>[8]Cartera_Vencida!F179</f>
        <v>10.578658409439285</v>
      </c>
      <c r="G179" s="82">
        <f>100*B179/[8]Cartera_Bruta!B180</f>
        <v>2.0693980649988513</v>
      </c>
      <c r="H179" s="82">
        <f>100*C179/[8]Cartera_Bruta!C180</f>
        <v>4.8586865921034059</v>
      </c>
      <c r="I179" s="82">
        <f>100*D179/[8]Cartera_Bruta!D180</f>
        <v>4.9572729484685922</v>
      </c>
      <c r="J179" s="82">
        <f>100*E179/[8]Cartera_Bruta!F180</f>
        <v>6.1350678724701799</v>
      </c>
      <c r="K179" s="84">
        <f>+F179*100/[8]Cartera_Bruta!G180</f>
        <v>3.2673644299699598</v>
      </c>
      <c r="L179" s="62">
        <f>4842942094.25487/(10^9)</f>
        <v>4.8429420942548704</v>
      </c>
      <c r="M179" s="62">
        <f>7344476007.8674/(10^9)</f>
        <v>7.3444760078674003</v>
      </c>
      <c r="N179" s="62">
        <f>358319399.513663/(10^9)</f>
        <v>0.35831939951366298</v>
      </c>
      <c r="O179" s="62">
        <f>721485522.506424/(10^9)</f>
        <v>0.72148552250642395</v>
      </c>
      <c r="P179" s="84">
        <f t="shared" si="4"/>
        <v>13.267223024142357</v>
      </c>
      <c r="Q179" s="83">
        <f>100*(B179+L179)/([8]Cartera_Bruta!B180+'G2.4B'!L179)</f>
        <v>4.5006457089454726</v>
      </c>
      <c r="R179" s="82">
        <f>100*(C179+M179)/([8]Cartera_Bruta!C180+'G2.4B'!M179)</f>
        <v>11.971205181385219</v>
      </c>
      <c r="S179" s="82">
        <f>100*(D179+N179)/([8]Cartera_Bruta!D180+'G2.4B'!N179)</f>
        <v>5.973938901355262</v>
      </c>
      <c r="T179" s="82">
        <f>100*(E179+O179)/([8]Cartera_Bruta!F180+'G2.4B'!O179)</f>
        <v>12.761865518989731</v>
      </c>
      <c r="U179" s="84">
        <f>100*(F179+P179)/([8]Cartera_Bruta!G180+'G2.4B'!P179)</f>
        <v>7.0752038866355047</v>
      </c>
      <c r="V179" s="48" t="str">
        <f t="shared" si="2"/>
        <v>F</v>
      </c>
    </row>
    <row r="180" spans="1:22" x14ac:dyDescent="0.3">
      <c r="A180" s="43">
        <f t="shared" si="3"/>
        <v>41487</v>
      </c>
      <c r="B180" s="83">
        <f>[8]Cartera_Vencida!B180</f>
        <v>4.17861450107611</v>
      </c>
      <c r="C180" s="82">
        <f>[8]Cartera_Vencida!C180</f>
        <v>4.4732579084580602</v>
      </c>
      <c r="D180" s="82">
        <f>[8]Cartera_Vencida!D180</f>
        <v>1.7559344460943</v>
      </c>
      <c r="E180" s="82">
        <f>[8]Cartera_Vencida!E180</f>
        <v>0.60652261096216198</v>
      </c>
      <c r="F180" s="84">
        <f>[8]Cartera_Vencida!F180</f>
        <v>11.014329466590635</v>
      </c>
      <c r="G180" s="82">
        <f>100*B180/[8]Cartera_Bruta!B181</f>
        <v>2.1735694431590642</v>
      </c>
      <c r="H180" s="82">
        <f>100*C180/[8]Cartera_Bruta!C181</f>
        <v>4.8714282295919213</v>
      </c>
      <c r="I180" s="82">
        <f>100*D180/[8]Cartera_Bruta!D181</f>
        <v>5.1820986645975777</v>
      </c>
      <c r="J180" s="82">
        <f>100*E180/[8]Cartera_Bruta!F181</f>
        <v>6.2968101971418511</v>
      </c>
      <c r="K180" s="84">
        <f>+F180*100/[8]Cartera_Bruta!G181</f>
        <v>3.3622310078089446</v>
      </c>
      <c r="L180" s="62">
        <f>4762632731.55997/(10^9)</f>
        <v>4.7626327315599699</v>
      </c>
      <c r="M180" s="62">
        <f>7544659324.26253/(10^9)</f>
        <v>7.5446593242625299</v>
      </c>
      <c r="N180" s="62">
        <f>357374075.878596/(10^9)</f>
        <v>0.35737407587859599</v>
      </c>
      <c r="O180" s="62">
        <f>726494341.984437/(10^9)</f>
        <v>0.72649434198443696</v>
      </c>
      <c r="P180" s="84">
        <f t="shared" si="4"/>
        <v>13.391160473685535</v>
      </c>
      <c r="Q180" s="83">
        <f>100*(B180+L180)/([8]Cartera_Bruta!B181+'G2.4B'!L180)</f>
        <v>4.5384902583879532</v>
      </c>
      <c r="R180" s="82">
        <f>100*(C180+M180)/([8]Cartera_Bruta!C181+'G2.4B'!M180)</f>
        <v>12.093979359418691</v>
      </c>
      <c r="S180" s="82">
        <f>100*(D180+N180)/([8]Cartera_Bruta!D181+'G2.4B'!N180)</f>
        <v>6.1716864697068869</v>
      </c>
      <c r="T180" s="82">
        <f>100*(E180+O180)/([8]Cartera_Bruta!F181+'G2.4B'!O180)</f>
        <v>12.868555974855706</v>
      </c>
      <c r="U180" s="84">
        <f>100*(F180+P180)/([8]Cartera_Bruta!G181+'G2.4B'!P180)</f>
        <v>7.1574325362466746</v>
      </c>
      <c r="V180" s="48" t="str">
        <f t="shared" si="2"/>
        <v>F</v>
      </c>
    </row>
    <row r="181" spans="1:22" x14ac:dyDescent="0.3">
      <c r="A181" s="43">
        <f t="shared" si="3"/>
        <v>41518</v>
      </c>
      <c r="B181" s="83">
        <f>[8]Cartera_Vencida!B181</f>
        <v>4.2508957878777895</v>
      </c>
      <c r="C181" s="82">
        <f>[8]Cartera_Vencida!C181</f>
        <v>4.4914484420548098</v>
      </c>
      <c r="D181" s="82">
        <f>[8]Cartera_Vencida!D181</f>
        <v>1.7504718469921101</v>
      </c>
      <c r="E181" s="82">
        <f>[8]Cartera_Vencida!E181</f>
        <v>0.618202466265523</v>
      </c>
      <c r="F181" s="84">
        <f>[8]Cartera_Vencida!F181</f>
        <v>11.11101854319023</v>
      </c>
      <c r="G181" s="82">
        <f>100*B181/[8]Cartera_Bruta!B182</f>
        <v>2.1907938895818919</v>
      </c>
      <c r="H181" s="82">
        <f>100*C181/[8]Cartera_Bruta!C182</f>
        <v>4.8486497797590387</v>
      </c>
      <c r="I181" s="82">
        <f>100*D181/[8]Cartera_Bruta!D182</f>
        <v>5.0473986423150468</v>
      </c>
      <c r="J181" s="82">
        <f>100*E181/[8]Cartera_Bruta!F182</f>
        <v>6.3280429423385813</v>
      </c>
      <c r="K181" s="84">
        <f>+F181*100/[8]Cartera_Bruta!G182</f>
        <v>3.35561310480356</v>
      </c>
      <c r="L181" s="62">
        <f>4781089851.3221/(10^9)</f>
        <v>4.7810898513220996</v>
      </c>
      <c r="M181" s="62">
        <f>7485467082.56918/(10^9)</f>
        <v>7.4854670825691798</v>
      </c>
      <c r="N181" s="62">
        <f>353354078.323531/(10^9)</f>
        <v>0.353354078323531</v>
      </c>
      <c r="O181" s="62">
        <f>735442188.186577/(10^9)</f>
        <v>0.73544218818657692</v>
      </c>
      <c r="P181" s="84">
        <f t="shared" si="4"/>
        <v>13.355353200401387</v>
      </c>
      <c r="Q181" s="83">
        <f>100*(B181+L181)/([8]Cartera_Bruta!B182+'G2.4B'!L181)</f>
        <v>4.5428962703308766</v>
      </c>
      <c r="R181" s="82">
        <f>100*(C181+M181)/([8]Cartera_Bruta!C182+'G2.4B'!M181)</f>
        <v>11.962746835652288</v>
      </c>
      <c r="S181" s="82">
        <f>100*(D181+N181)/([8]Cartera_Bruta!D182+'G2.4B'!N181)</f>
        <v>6.0050929523314904</v>
      </c>
      <c r="T181" s="82">
        <f>100*(E181+O181)/([8]Cartera_Bruta!F182+'G2.4B'!O181)</f>
        <v>12.886092835411919</v>
      </c>
      <c r="U181" s="84">
        <f>100*(F181+P181)/([8]Cartera_Bruta!G182+'G2.4B'!P181)</f>
        <v>7.1025566466422401</v>
      </c>
      <c r="V181" s="48" t="str">
        <f t="shared" si="2"/>
        <v>F</v>
      </c>
    </row>
    <row r="182" spans="1:22" x14ac:dyDescent="0.3">
      <c r="A182" s="43">
        <f t="shared" si="3"/>
        <v>41548</v>
      </c>
      <c r="B182" s="83">
        <f>[8]Cartera_Vencida!B182</f>
        <v>4.2193994713426299</v>
      </c>
      <c r="C182" s="82">
        <f>[8]Cartera_Vencida!C182</f>
        <v>4.4892591229375203</v>
      </c>
      <c r="D182" s="82">
        <f>[8]Cartera_Vencida!D182</f>
        <v>1.7294389096871099</v>
      </c>
      <c r="E182" s="82">
        <f>[8]Cartera_Vencida!E182</f>
        <v>0.609181461257849</v>
      </c>
      <c r="F182" s="84">
        <f>[8]Cartera_Vencida!F182</f>
        <v>11.047278965225109</v>
      </c>
      <c r="G182" s="82">
        <f>100*B182/[8]Cartera_Bruta!B183</f>
        <v>2.171150707818696</v>
      </c>
      <c r="H182" s="82">
        <f>100*C182/[8]Cartera_Bruta!C183</f>
        <v>4.7932510583258914</v>
      </c>
      <c r="I182" s="82">
        <f>100*D182/[8]Cartera_Bruta!D183</f>
        <v>4.8460465948952001</v>
      </c>
      <c r="J182" s="82">
        <f>100*E182/[8]Cartera_Bruta!F183</f>
        <v>6.2256027814778934</v>
      </c>
      <c r="K182" s="84">
        <f>+F182*100/[8]Cartera_Bruta!G183</f>
        <v>3.3128258313650445</v>
      </c>
      <c r="L182" s="62">
        <f>4777554863.91418/(10^9)</f>
        <v>4.7775548639141796</v>
      </c>
      <c r="M182" s="62">
        <f>7701972015.07725/(10^9)</f>
        <v>7.7019720150772493</v>
      </c>
      <c r="N182" s="62">
        <f>352232160.288419/(10^9)</f>
        <v>0.35223216028841903</v>
      </c>
      <c r="O182" s="62">
        <f>764046799.227206/(10^9)</f>
        <v>0.76404679922720597</v>
      </c>
      <c r="P182" s="84">
        <f t="shared" si="4"/>
        <v>13.595805838507054</v>
      </c>
      <c r="Q182" s="83">
        <f>100*(B182+L182)/([8]Cartera_Bruta!B183+'G2.4B'!L182)</f>
        <v>4.5184289108141682</v>
      </c>
      <c r="R182" s="82">
        <f>100*(C182+M182)/([8]Cartera_Bruta!C183+'G2.4B'!M182)</f>
        <v>12.027668137191066</v>
      </c>
      <c r="S182" s="82">
        <f>100*(D182+N182)/([8]Cartera_Bruta!D183+'G2.4B'!N182)</f>
        <v>5.7760248388680964</v>
      </c>
      <c r="T182" s="82">
        <f>100*(E182+O182)/([8]Cartera_Bruta!F183+'G2.4B'!O182)</f>
        <v>13.017434294245975</v>
      </c>
      <c r="U182" s="84">
        <f>100*(F182+P182)/([8]Cartera_Bruta!G183+'G2.4B'!P182)</f>
        <v>7.1004078332390321</v>
      </c>
      <c r="V182" s="48" t="str">
        <f t="shared" si="2"/>
        <v>F</v>
      </c>
    </row>
    <row r="183" spans="1:22" x14ac:dyDescent="0.3">
      <c r="A183" s="43">
        <f t="shared" si="3"/>
        <v>41579</v>
      </c>
      <c r="B183" s="83">
        <f>[8]Cartera_Vencida!B183</f>
        <v>4.4349417720670097</v>
      </c>
      <c r="C183" s="82">
        <f>[8]Cartera_Vencida!C183</f>
        <v>4.62181765968728</v>
      </c>
      <c r="D183" s="82">
        <f>[8]Cartera_Vencida!D183</f>
        <v>1.81611945910148</v>
      </c>
      <c r="E183" s="82">
        <f>[8]Cartera_Vencida!E183</f>
        <v>0.62774390713555206</v>
      </c>
      <c r="F183" s="84">
        <f>[8]Cartera_Vencida!F183</f>
        <v>11.500622797991321</v>
      </c>
      <c r="G183" s="82">
        <f>100*B183/[8]Cartera_Bruta!B184</f>
        <v>2.2543043410159065</v>
      </c>
      <c r="H183" s="82">
        <f>100*C183/[8]Cartera_Bruta!C184</f>
        <v>4.8771094687598353</v>
      </c>
      <c r="I183" s="82">
        <f>100*D183/[8]Cartera_Bruta!D184</f>
        <v>4.9555230823622809</v>
      </c>
      <c r="J183" s="82">
        <f>100*E183/[8]Cartera_Bruta!F184</f>
        <v>6.3128185954940434</v>
      </c>
      <c r="K183" s="84">
        <f>+F183*100/[8]Cartera_Bruta!G184</f>
        <v>3.4016451256097908</v>
      </c>
      <c r="L183" s="62">
        <f>4834112476.04067/(10^9)</f>
        <v>4.8341124760406702</v>
      </c>
      <c r="M183" s="62">
        <f>7939895423.12238/(10^9)</f>
        <v>7.9398954231223806</v>
      </c>
      <c r="N183" s="62">
        <f>351630326.959672/(10^9)</f>
        <v>0.351630326959672</v>
      </c>
      <c r="O183" s="62">
        <f>758782746.833478/(10^9)</f>
        <v>0.75878274683347802</v>
      </c>
      <c r="P183" s="84">
        <f t="shared" si="4"/>
        <v>13.884420972956201</v>
      </c>
      <c r="Q183" s="83">
        <f>100*(B183+L183)/([8]Cartera_Bruta!B184+'G2.4B'!L183)</f>
        <v>4.5985143398637103</v>
      </c>
      <c r="R183" s="82">
        <f>100*(C183+M183)/([8]Cartera_Bruta!C184+'G2.4B'!M183)</f>
        <v>12.230819824111789</v>
      </c>
      <c r="S183" s="82">
        <f>100*(D183+N183)/([8]Cartera_Bruta!D184+'G2.4B'!N183)</f>
        <v>5.8587798803662476</v>
      </c>
      <c r="T183" s="82">
        <f>100*(E183+O183)/([8]Cartera_Bruta!F184+'G2.4B'!O183)</f>
        <v>12.954877058078287</v>
      </c>
      <c r="U183" s="84">
        <f>100*(F183+P183)/([8]Cartera_Bruta!G184+'G2.4B'!P183)</f>
        <v>7.2121837774010604</v>
      </c>
      <c r="V183" s="48" t="str">
        <f t="shared" si="2"/>
        <v>F</v>
      </c>
    </row>
    <row r="184" spans="1:22" x14ac:dyDescent="0.3">
      <c r="A184" s="43">
        <f t="shared" si="3"/>
        <v>41609</v>
      </c>
      <c r="B184" s="83">
        <f>[8]Cartera_Vencida!B184</f>
        <v>4.1203184520252902</v>
      </c>
      <c r="C184" s="82">
        <f>[8]Cartera_Vencida!C184</f>
        <v>4.2368345713218503</v>
      </c>
      <c r="D184" s="82">
        <f>[8]Cartera_Vencida!D184</f>
        <v>1.6120150830790301</v>
      </c>
      <c r="E184" s="82">
        <f>[8]Cartera_Vencida!E184</f>
        <v>0.641593993555717</v>
      </c>
      <c r="F184" s="84">
        <f>[8]Cartera_Vencida!F184</f>
        <v>10.610762099981887</v>
      </c>
      <c r="G184" s="82">
        <f>100*B184/[8]Cartera_Bruta!B185</f>
        <v>2.089331807758017</v>
      </c>
      <c r="H184" s="82">
        <f>100*C184/[8]Cartera_Bruta!C185</f>
        <v>4.4407225452142551</v>
      </c>
      <c r="I184" s="82">
        <f>100*D184/[8]Cartera_Bruta!D185</f>
        <v>4.3067580481723446</v>
      </c>
      <c r="J184" s="82">
        <f>100*E184/[8]Cartera_Bruta!F185</f>
        <v>6.3734209443715368</v>
      </c>
      <c r="K184" s="84">
        <f>+F184*100/[8]Cartera_Bruta!G185</f>
        <v>3.1197777371697639</v>
      </c>
      <c r="L184" s="62">
        <f>5034209215.55088/(10^9)</f>
        <v>5.0342092155508809</v>
      </c>
      <c r="M184" s="62">
        <f>7742067903.03536/(10^9)</f>
        <v>7.7420679030353607</v>
      </c>
      <c r="N184" s="62">
        <f>346595957.412341/(10^9)</f>
        <v>0.346595957412341</v>
      </c>
      <c r="O184" s="62">
        <f>769709087.340784/(10^9)</f>
        <v>0.76970908734078392</v>
      </c>
      <c r="P184" s="84">
        <f t="shared" si="4"/>
        <v>13.892582163339366</v>
      </c>
      <c r="Q184" s="83">
        <f>100*(B184+L184)/([8]Cartera_Bruta!B185+'G2.4B'!L184)</f>
        <v>4.5265286492903414</v>
      </c>
      <c r="R184" s="82">
        <f>100*(C184+M184)/([8]Cartera_Bruta!C185+'G2.4B'!M184)</f>
        <v>11.613006419002982</v>
      </c>
      <c r="S184" s="82">
        <f>100*(D184+N184)/([8]Cartera_Bruta!D185+'G2.4B'!N184)</f>
        <v>5.1847350277849511</v>
      </c>
      <c r="T184" s="82">
        <f>100*(E184+O184)/([8]Cartera_Bruta!F185+'G2.4B'!O184)</f>
        <v>13.023699814990279</v>
      </c>
      <c r="U184" s="84">
        <f>100*(F184+P184)/([8]Cartera_Bruta!G185+'G2.4B'!P184)</f>
        <v>6.9217442493786354</v>
      </c>
      <c r="V184" s="48" t="str">
        <f t="shared" si="2"/>
        <v>F</v>
      </c>
    </row>
    <row r="185" spans="1:22" x14ac:dyDescent="0.3">
      <c r="A185" s="43">
        <f t="shared" si="3"/>
        <v>41640</v>
      </c>
      <c r="B185" s="83">
        <f>[8]Cartera_Vencida!B185</f>
        <v>4.4220377599463996</v>
      </c>
      <c r="C185" s="82">
        <f>[8]Cartera_Vencida!C185</f>
        <v>4.34535233559982</v>
      </c>
      <c r="D185" s="82">
        <f>[8]Cartera_Vencida!D185</f>
        <v>1.7336046736670401</v>
      </c>
      <c r="E185" s="82">
        <f>[8]Cartera_Vencida!E185</f>
        <v>0.68337072859468395</v>
      </c>
      <c r="F185" s="84">
        <f>[8]Cartera_Vencida!F185</f>
        <v>11.184365497807942</v>
      </c>
      <c r="G185" s="82">
        <f>100*B185/[8]Cartera_Bruta!B186</f>
        <v>2.2391920918406223</v>
      </c>
      <c r="H185" s="82">
        <f>100*C185/[8]Cartera_Bruta!C186</f>
        <v>4.5524083518857683</v>
      </c>
      <c r="I185" s="82">
        <f>100*D185/[8]Cartera_Bruta!D186</f>
        <v>4.5674028138275133</v>
      </c>
      <c r="J185" s="82">
        <f>100*E185/[8]Cartera_Bruta!F186</f>
        <v>6.8113460796461238</v>
      </c>
      <c r="K185" s="84">
        <f>+F185*100/[8]Cartera_Bruta!G186</f>
        <v>3.2806017221085302</v>
      </c>
      <c r="L185" s="62">
        <f>4989607070.0746/(10^9)</f>
        <v>4.9896070700745998</v>
      </c>
      <c r="M185" s="62">
        <f>8006684349.8292/(10^9)</f>
        <v>8.0066843498292002</v>
      </c>
      <c r="N185" s="62">
        <f>327262824.064548/(10^9)</f>
        <v>0.32726282406454804</v>
      </c>
      <c r="O185" s="62">
        <f>780858628.112416/(10^9)</f>
        <v>0.78085862811241602</v>
      </c>
      <c r="P185" s="84">
        <f t="shared" si="4"/>
        <v>14.104412872080763</v>
      </c>
      <c r="Q185" s="83">
        <f>100*(B185+L185)/([8]Cartera_Bruta!B186+'G2.4B'!L185)</f>
        <v>4.6483402461415944</v>
      </c>
      <c r="R185" s="82">
        <f>100*(C185+M185)/([8]Cartera_Bruta!C186+'G2.4B'!M185)</f>
        <v>11.939132519144701</v>
      </c>
      <c r="S185" s="82">
        <f>100*(D185+N185)/([8]Cartera_Bruta!D186+'G2.4B'!N185)</f>
        <v>5.3832036736360456</v>
      </c>
      <c r="T185" s="82">
        <f>100*(E185+O185)/([8]Cartera_Bruta!F186+'G2.4B'!O185)</f>
        <v>13.540517903779683</v>
      </c>
      <c r="U185" s="84">
        <f>100*(F185+P185)/([8]Cartera_Bruta!G186+'G2.4B'!P185)</f>
        <v>7.1230252308963369</v>
      </c>
      <c r="V185" s="48" t="str">
        <f t="shared" si="2"/>
        <v>F</v>
      </c>
    </row>
    <row r="186" spans="1:22" x14ac:dyDescent="0.3">
      <c r="A186" s="43">
        <f t="shared" si="3"/>
        <v>41671</v>
      </c>
      <c r="B186" s="83">
        <f>[8]Cartera_Vencida!B186</f>
        <v>4.5255961360366603</v>
      </c>
      <c r="C186" s="82">
        <f>[8]Cartera_Vencida!C186</f>
        <v>4.4925618089249602</v>
      </c>
      <c r="D186" s="82">
        <f>[8]Cartera_Vencida!D186</f>
        <v>1.70122759160762</v>
      </c>
      <c r="E186" s="82">
        <f>[8]Cartera_Vencida!E186</f>
        <v>0.70011077230645891</v>
      </c>
      <c r="F186" s="84">
        <f>[8]Cartera_Vencida!F186</f>
        <v>11.419496308875701</v>
      </c>
      <c r="G186" s="82">
        <f>100*B186/[8]Cartera_Bruta!B187</f>
        <v>2.2710187091497023</v>
      </c>
      <c r="H186" s="82">
        <f>100*C186/[8]Cartera_Bruta!C187</f>
        <v>4.7098070480865006</v>
      </c>
      <c r="I186" s="82">
        <f>100*D186/[8]Cartera_Bruta!D187</f>
        <v>4.4222225581761192</v>
      </c>
      <c r="J186" s="82">
        <f>100*E186/[8]Cartera_Bruta!F187</f>
        <v>6.9932119487069047</v>
      </c>
      <c r="K186" s="84">
        <f>+F186*100/[8]Cartera_Bruta!G187</f>
        <v>3.327895452102327</v>
      </c>
      <c r="L186" s="62">
        <f>5025658449.05388/(10^9)</f>
        <v>5.0256584490538794</v>
      </c>
      <c r="M186" s="62">
        <f>8124621285.95073/(10^9)</f>
        <v>8.124621285950731</v>
      </c>
      <c r="N186" s="62">
        <f>323594353.910671/(10^9)</f>
        <v>0.32359435391067098</v>
      </c>
      <c r="O186" s="62">
        <f>790537829.839779/(10^9)</f>
        <v>0.79053782983977905</v>
      </c>
      <c r="P186" s="84">
        <f t="shared" si="4"/>
        <v>14.26441191875506</v>
      </c>
      <c r="Q186" s="83">
        <f>100*(B186+L186)/([8]Cartera_Bruta!B187+'G2.4B'!L186)</f>
        <v>4.6750735255368561</v>
      </c>
      <c r="R186" s="82">
        <f>100*(C186+M186)/([8]Cartera_Bruta!C187+'G2.4B'!M186)</f>
        <v>12.189101030079399</v>
      </c>
      <c r="S186" s="82">
        <f>100*(D186+N186)/([8]Cartera_Bruta!D187+'G2.4B'!N186)</f>
        <v>5.2194793056508368</v>
      </c>
      <c r="T186" s="82">
        <f>100*(E186+O186)/([8]Cartera_Bruta!F187+'G2.4B'!O186)</f>
        <v>13.799965516788271</v>
      </c>
      <c r="U186" s="84">
        <f>100*(F186+P186)/([8]Cartera_Bruta!G187+'G2.4B'!P186)</f>
        <v>7.1861372788035593</v>
      </c>
      <c r="V186" s="48" t="str">
        <f t="shared" si="2"/>
        <v>F</v>
      </c>
    </row>
    <row r="187" spans="1:22" x14ac:dyDescent="0.3">
      <c r="A187" s="43">
        <f t="shared" si="3"/>
        <v>41699</v>
      </c>
      <c r="B187" s="83">
        <f>[8]Cartera_Vencida!B187</f>
        <v>4.7221666769219901</v>
      </c>
      <c r="C187" s="82">
        <f>[8]Cartera_Vencida!C187</f>
        <v>4.6048722232243904</v>
      </c>
      <c r="D187" s="82">
        <f>[8]Cartera_Vencida!D187</f>
        <v>1.7501816258610599</v>
      </c>
      <c r="E187" s="82">
        <f>[8]Cartera_Vencida!E187</f>
        <v>0.7104390551178319</v>
      </c>
      <c r="F187" s="84">
        <f>[8]Cartera_Vencida!F187</f>
        <v>11.787659581125272</v>
      </c>
      <c r="G187" s="82">
        <f>100*B187/[8]Cartera_Bruta!B188</f>
        <v>2.3541683494219776</v>
      </c>
      <c r="H187" s="82">
        <f>100*C187/[8]Cartera_Bruta!C188</f>
        <v>4.8107002259831484</v>
      </c>
      <c r="I187" s="82">
        <f>100*D187/[8]Cartera_Bruta!D188</f>
        <v>4.487302835416445</v>
      </c>
      <c r="J187" s="82">
        <f>100*E187/[8]Cartera_Bruta!F188</f>
        <v>7.0241894041274042</v>
      </c>
      <c r="K187" s="84">
        <f>+F187*100/[8]Cartera_Bruta!G188</f>
        <v>3.4124984756290182</v>
      </c>
      <c r="L187" s="62">
        <f>5291290105.81983/(10^9)</f>
        <v>5.2912901058198303</v>
      </c>
      <c r="M187" s="62">
        <f>7892045606.96817/(10^9)</f>
        <v>7.8920456069681704</v>
      </c>
      <c r="N187" s="62">
        <f>319441631.529013/(10^9)</f>
        <v>0.319441631529013</v>
      </c>
      <c r="O187" s="62">
        <f>803431531.89074/(10^9)</f>
        <v>0.80343153189074001</v>
      </c>
      <c r="P187" s="84">
        <f t="shared" si="4"/>
        <v>14.306208876207753</v>
      </c>
      <c r="Q187" s="83">
        <f>100*(B187+L187)/([8]Cartera_Bruta!B188+'G2.4B'!L187)</f>
        <v>4.8637639408050832</v>
      </c>
      <c r="R187" s="82">
        <f>100*(C187+M187)/([8]Cartera_Bruta!C188+'G2.4B'!M187)</f>
        <v>12.061090330051977</v>
      </c>
      <c r="S187" s="82">
        <f>100*(D187+N187)/([8]Cartera_Bruta!D188+'G2.4B'!N187)</f>
        <v>5.2632147460661951</v>
      </c>
      <c r="T187" s="82">
        <f>100*(E187+O187)/([8]Cartera_Bruta!F188+'G2.4B'!O187)</f>
        <v>13.866318556805155</v>
      </c>
      <c r="U187" s="84">
        <f>100*(F187+P187)/([8]Cartera_Bruta!G188+'G2.4B'!P187)</f>
        <v>7.2536910217858921</v>
      </c>
      <c r="V187" s="48" t="str">
        <f t="shared" si="2"/>
        <v>F</v>
      </c>
    </row>
    <row r="188" spans="1:22" x14ac:dyDescent="0.3">
      <c r="A188" s="43">
        <f t="shared" si="3"/>
        <v>41730</v>
      </c>
      <c r="B188" s="83">
        <f>[8]Cartera_Vencida!B188</f>
        <v>4.9380879160480298</v>
      </c>
      <c r="C188" s="82">
        <f>[8]Cartera_Vencida!C188</f>
        <v>4.6517663682070802</v>
      </c>
      <c r="D188" s="82">
        <f>[8]Cartera_Vencida!D188</f>
        <v>1.8022147338244199</v>
      </c>
      <c r="E188" s="82">
        <f>[8]Cartera_Vencida!E188</f>
        <v>0.71853841016915099</v>
      </c>
      <c r="F188" s="84">
        <f>[8]Cartera_Vencida!F188</f>
        <v>12.110607428248681</v>
      </c>
      <c r="G188" s="82">
        <f>100*B188/[8]Cartera_Bruta!B189</f>
        <v>2.4353184195046942</v>
      </c>
      <c r="H188" s="82">
        <f>100*C188/[8]Cartera_Bruta!C189</f>
        <v>4.8242603815552245</v>
      </c>
      <c r="I188" s="82">
        <f>100*D188/[8]Cartera_Bruta!D189</f>
        <v>4.5510050606057648</v>
      </c>
      <c r="J188" s="82">
        <f>100*E188/[8]Cartera_Bruta!F189</f>
        <v>7.0539256421542591</v>
      </c>
      <c r="K188" s="84">
        <f>+F188*100/[8]Cartera_Bruta!G189</f>
        <v>3.4702782201651483</v>
      </c>
      <c r="L188" s="62">
        <f>5317178805.45192/(10^9)</f>
        <v>5.3171788054519196</v>
      </c>
      <c r="M188" s="62">
        <f>7781578710.14492/(10^9)</f>
        <v>7.7815787101449203</v>
      </c>
      <c r="N188" s="62">
        <f>299159287.658312/(10^9)</f>
        <v>0.29915928765831201</v>
      </c>
      <c r="O188" s="62">
        <f>812324954.533706/(10^9)</f>
        <v>0.8123249545337059</v>
      </c>
      <c r="P188" s="84">
        <f t="shared" si="4"/>
        <v>14.210241757788859</v>
      </c>
      <c r="Q188" s="83">
        <f>100*(B188+L188)/([8]Cartera_Bruta!B189+'G2.4B'!L188)</f>
        <v>4.9283581229803977</v>
      </c>
      <c r="R188" s="82">
        <f>100*(C188+M188)/([8]Cartera_Bruta!C189+'G2.4B'!M188)</f>
        <v>11.931503057792897</v>
      </c>
      <c r="S188" s="82">
        <f>100*(D188+N188)/([8]Cartera_Bruta!D189+'G2.4B'!N188)</f>
        <v>5.2666640058604548</v>
      </c>
      <c r="T188" s="82">
        <f>100*(E188+O188)/([8]Cartera_Bruta!F189+'G2.4B'!O188)</f>
        <v>13.918600949157883</v>
      </c>
      <c r="U188" s="84">
        <f>100*(F188+P188)/([8]Cartera_Bruta!G189+'G2.4B'!P188)</f>
        <v>7.2471070185595732</v>
      </c>
      <c r="V188" s="48" t="str">
        <f t="shared" si="2"/>
        <v>F</v>
      </c>
    </row>
    <row r="189" spans="1:22" x14ac:dyDescent="0.3">
      <c r="A189" s="43">
        <f t="shared" si="3"/>
        <v>41760</v>
      </c>
      <c r="B189" s="83">
        <f>[8]Cartera_Vencida!B189</f>
        <v>4.86630797947769</v>
      </c>
      <c r="C189" s="82">
        <f>[8]Cartera_Vencida!C189</f>
        <v>4.70419373548431</v>
      </c>
      <c r="D189" s="82">
        <f>[8]Cartera_Vencida!D189</f>
        <v>1.8664793056590601</v>
      </c>
      <c r="E189" s="82">
        <f>[8]Cartera_Vencida!E189</f>
        <v>0.724115627434057</v>
      </c>
      <c r="F189" s="84">
        <f>[8]Cartera_Vencida!F189</f>
        <v>12.161096648055118</v>
      </c>
      <c r="G189" s="82">
        <f>100*B189/[8]Cartera_Bruta!B190</f>
        <v>2.3703889396094664</v>
      </c>
      <c r="H189" s="82">
        <f>100*C189/[8]Cartera_Bruta!C190</f>
        <v>4.830003535051711</v>
      </c>
      <c r="I189" s="82">
        <f>100*D189/[8]Cartera_Bruta!D190</f>
        <v>4.6224863151796729</v>
      </c>
      <c r="J189" s="82">
        <f>100*E189/[8]Cartera_Bruta!F190</f>
        <v>7.0425325391810309</v>
      </c>
      <c r="K189" s="84">
        <f>+F189*100/[8]Cartera_Bruta!G190</f>
        <v>3.4416448681974781</v>
      </c>
      <c r="L189" s="62">
        <f>5055325247.36989/(10^9)</f>
        <v>5.0553252473698906</v>
      </c>
      <c r="M189" s="62">
        <f>8125265375.30781/(10^9)</f>
        <v>8.1252653753078103</v>
      </c>
      <c r="N189" s="62">
        <f>302959708.815225/(10^9)</f>
        <v>0.30295970881522499</v>
      </c>
      <c r="O189" s="62">
        <f>822157107.612769/(10^9)</f>
        <v>0.82215710761276906</v>
      </c>
      <c r="P189" s="84">
        <f t="shared" si="4"/>
        <v>14.305707439105696</v>
      </c>
      <c r="Q189" s="83">
        <f>100*(B189+L189)/([8]Cartera_Bruta!B190+'G2.4B'!L189)</f>
        <v>4.7167017147484529</v>
      </c>
      <c r="R189" s="82">
        <f>100*(C189+M189)/([8]Cartera_Bruta!C190+'G2.4B'!M189)</f>
        <v>12.158261145949369</v>
      </c>
      <c r="S189" s="82">
        <f>100*(D189+N189)/([8]Cartera_Bruta!D190+'G2.4B'!N189)</f>
        <v>5.3327783768319348</v>
      </c>
      <c r="T189" s="82">
        <f>100*(E189+O189)/([8]Cartera_Bruta!F190+'G2.4B'!O189)</f>
        <v>13.925126524929025</v>
      </c>
      <c r="U189" s="84">
        <f>100*(F189+P189)/([8]Cartera_Bruta!G190+'G2.4B'!P189)</f>
        <v>7.1987760448993265</v>
      </c>
      <c r="V189" s="48" t="str">
        <f t="shared" si="2"/>
        <v>F</v>
      </c>
    </row>
    <row r="190" spans="1:22" x14ac:dyDescent="0.3">
      <c r="A190" s="43">
        <f t="shared" si="3"/>
        <v>41791</v>
      </c>
      <c r="B190" s="83">
        <f>[8]Cartera_Vencida!B190</f>
        <v>4.9418448754900002</v>
      </c>
      <c r="C190" s="82">
        <f>[8]Cartera_Vencida!C190</f>
        <v>4.7627117026196206</v>
      </c>
      <c r="D190" s="82">
        <f>[8]Cartera_Vencida!D190</f>
        <v>1.94614123129298</v>
      </c>
      <c r="E190" s="82">
        <f>[8]Cartera_Vencida!E190</f>
        <v>0.75518017563357798</v>
      </c>
      <c r="F190" s="84">
        <f>[8]Cartera_Vencida!F190</f>
        <v>12.405877985036179</v>
      </c>
      <c r="G190" s="82">
        <f>100*B190/[8]Cartera_Bruta!B191</f>
        <v>2.3739263653843135</v>
      </c>
      <c r="H190" s="82">
        <f>100*C190/[8]Cartera_Bruta!C191</f>
        <v>4.864171424498136</v>
      </c>
      <c r="I190" s="82">
        <f>100*D190/[8]Cartera_Bruta!D191</f>
        <v>4.7516212016058219</v>
      </c>
      <c r="J190" s="82">
        <f>100*E190/[8]Cartera_Bruta!F191</f>
        <v>7.3130262396353292</v>
      </c>
      <c r="K190" s="84">
        <f>+F190*100/[8]Cartera_Bruta!G191</f>
        <v>3.4714394717561272</v>
      </c>
      <c r="L190" s="62">
        <f>5068067969.57248/(10^9)</f>
        <v>5.0680679695724802</v>
      </c>
      <c r="M190" s="62">
        <f>8288461383.28137/(10^9)</f>
        <v>8.2884613832813709</v>
      </c>
      <c r="N190" s="62">
        <f>301558545.857315/(10^9)</f>
        <v>0.30155854585731501</v>
      </c>
      <c r="O190" s="62">
        <f>738048204.175369/(10^9)</f>
        <v>0.73804820417536898</v>
      </c>
      <c r="P190" s="84">
        <f t="shared" si="4"/>
        <v>14.396136102886535</v>
      </c>
      <c r="Q190" s="83">
        <f>100*(B190+L190)/([8]Cartera_Bruta!B191+'G2.4B'!L190)</f>
        <v>4.6942036083698708</v>
      </c>
      <c r="R190" s="82">
        <f>100*(C190+M190)/([8]Cartera_Bruta!C191+'G2.4B'!M190)</f>
        <v>12.288938974370335</v>
      </c>
      <c r="S190" s="82">
        <f>100*(D190+N190)/([8]Cartera_Bruta!D191+'G2.4B'!N190)</f>
        <v>5.4477839971175062</v>
      </c>
      <c r="T190" s="82">
        <f>100*(E190+O190)/([8]Cartera_Bruta!F191+'G2.4B'!O190)</f>
        <v>13.495602267665888</v>
      </c>
      <c r="U190" s="84">
        <f>100*(F190+P190)/([8]Cartera_Bruta!G191+'G2.4B'!P190)</f>
        <v>7.2093777240370276</v>
      </c>
      <c r="V190" s="48" t="str">
        <f t="shared" si="2"/>
        <v>F</v>
      </c>
    </row>
    <row r="191" spans="1:22" x14ac:dyDescent="0.3">
      <c r="A191" s="43">
        <f t="shared" si="3"/>
        <v>41821</v>
      </c>
      <c r="B191" s="83">
        <f>[8]Cartera_Vencida!B191</f>
        <v>4.9578951931011002</v>
      </c>
      <c r="C191" s="82">
        <f>[8]Cartera_Vencida!C191</f>
        <v>4.5033791704066699</v>
      </c>
      <c r="D191" s="82">
        <f>[8]Cartera_Vencida!D191</f>
        <v>1.80459073876745</v>
      </c>
      <c r="E191" s="82">
        <f>[8]Cartera_Vencida!E191</f>
        <v>0.74849191101698398</v>
      </c>
      <c r="F191" s="84">
        <f>[8]Cartera_Vencida!F191</f>
        <v>12.014357013292203</v>
      </c>
      <c r="G191" s="82">
        <f>100*B191/[8]Cartera_Bruta!B192</f>
        <v>2.3828278643509244</v>
      </c>
      <c r="H191" s="82">
        <f>100*C191/[8]Cartera_Bruta!C192</f>
        <v>4.5533651505600643</v>
      </c>
      <c r="I191" s="82">
        <f>100*D191/[8]Cartera_Bruta!D192</f>
        <v>4.3354399705333178</v>
      </c>
      <c r="J191" s="82">
        <f>100*E191/[8]Cartera_Bruta!F192</f>
        <v>7.1833939666892794</v>
      </c>
      <c r="K191" s="84">
        <f>+F191*100/[8]Cartera_Bruta!G192</f>
        <v>3.3464885334028907</v>
      </c>
      <c r="L191" s="62">
        <f>5128786517.78804/(10^9)</f>
        <v>5.1287865177880398</v>
      </c>
      <c r="M191" s="62">
        <f>8485581431.59552/(10^9)</f>
        <v>8.48558143159552</v>
      </c>
      <c r="N191" s="62">
        <f>301885033.041235/(10^9)</f>
        <v>0.30188503304123504</v>
      </c>
      <c r="O191" s="62">
        <f>764165373.528094/(10^9)</f>
        <v>0.76416537352809411</v>
      </c>
      <c r="P191" s="84">
        <f t="shared" si="4"/>
        <v>14.680418355952888</v>
      </c>
      <c r="Q191" s="83">
        <f>100*(B191+L191)/([8]Cartera_Bruta!B192+'G2.4B'!L191)</f>
        <v>4.7311668944194167</v>
      </c>
      <c r="R191" s="82">
        <f>100*(C191+M191)/([8]Cartera_Bruta!C192+'G2.4B'!M191)</f>
        <v>12.095378205803046</v>
      </c>
      <c r="S191" s="82">
        <f>100*(D191+N191)/([8]Cartera_Bruta!D192+'G2.4B'!N191)</f>
        <v>5.0242646515397791</v>
      </c>
      <c r="T191" s="82">
        <f>100*(E191+O191)/([8]Cartera_Bruta!F192+'G2.4B'!O191)</f>
        <v>13.525288981867604</v>
      </c>
      <c r="U191" s="84">
        <f>100*(F191+P191)/([8]Cartera_Bruta!G192+'G2.4B'!P191)</f>
        <v>7.1434801901110161</v>
      </c>
      <c r="V191" s="48" t="str">
        <f t="shared" si="2"/>
        <v>F</v>
      </c>
    </row>
    <row r="192" spans="1:22" x14ac:dyDescent="0.3">
      <c r="A192" s="43">
        <f t="shared" si="3"/>
        <v>41852</v>
      </c>
      <c r="B192" s="83">
        <f>[8]Cartera_Vencida!B192</f>
        <v>5.2236013286352794</v>
      </c>
      <c r="C192" s="82">
        <f>[8]Cartera_Vencida!C192</f>
        <v>4.6937793719297893</v>
      </c>
      <c r="D192" s="82">
        <f>[8]Cartera_Vencida!D192</f>
        <v>1.9793718842299499</v>
      </c>
      <c r="E192" s="82">
        <f>[8]Cartera_Vencida!E192</f>
        <v>0.763351975617794</v>
      </c>
      <c r="F192" s="84">
        <f>[8]Cartera_Vencida!F192</f>
        <v>12.660104560412814</v>
      </c>
      <c r="G192" s="82">
        <f>100*B192/[8]Cartera_Bruta!B193</f>
        <v>2.4988997627026457</v>
      </c>
      <c r="H192" s="82">
        <f>100*C192/[8]Cartera_Bruta!C193</f>
        <v>4.7010135297096056</v>
      </c>
      <c r="I192" s="82">
        <f>100*D192/[8]Cartera_Bruta!D193</f>
        <v>4.6874130040502804</v>
      </c>
      <c r="J192" s="82">
        <f>100*E192/[8]Cartera_Bruta!F193</f>
        <v>7.2743681551352219</v>
      </c>
      <c r="K192" s="84">
        <f>+F192*100/[8]Cartera_Bruta!G193</f>
        <v>3.5011034522757316</v>
      </c>
      <c r="L192" s="62">
        <f>5184418714.29064/(10^9)</f>
        <v>5.1844187142906399</v>
      </c>
      <c r="M192" s="62">
        <f>8392190837.43111/(10^9)</f>
        <v>8.3921908374311105</v>
      </c>
      <c r="N192" s="62">
        <f>301332746.371013/(10^9)</f>
        <v>0.30133274637101298</v>
      </c>
      <c r="O192" s="62">
        <f>780000416.611806/(10^9)</f>
        <v>0.78000041661180608</v>
      </c>
      <c r="P192" s="84">
        <f t="shared" si="4"/>
        <v>14.65794271470457</v>
      </c>
      <c r="Q192" s="83">
        <f>100*(B192+L192)/([8]Cartera_Bruta!B193+'G2.4B'!L192)</f>
        <v>4.8585553758446478</v>
      </c>
      <c r="R192" s="82">
        <f>100*(C192+M192)/([8]Cartera_Bruta!C193+'G2.4B'!M192)</f>
        <v>12.089962159064717</v>
      </c>
      <c r="S192" s="82">
        <f>100*(D192+N192)/([8]Cartera_Bruta!D193+'G2.4B'!N192)</f>
        <v>5.3627403091646739</v>
      </c>
      <c r="T192" s="82">
        <f>100*(E192+O192)/([8]Cartera_Bruta!F193+'G2.4B'!O192)</f>
        <v>13.689820694219636</v>
      </c>
      <c r="U192" s="84">
        <f>100*(F192+P192)/([8]Cartera_Bruta!G193+'G2.4B'!P192)</f>
        <v>7.2603942077601848</v>
      </c>
      <c r="V192" s="48" t="str">
        <f t="shared" si="2"/>
        <v>F</v>
      </c>
    </row>
    <row r="193" spans="1:22" x14ac:dyDescent="0.3">
      <c r="A193" s="43">
        <f t="shared" si="3"/>
        <v>41883</v>
      </c>
      <c r="B193" s="83">
        <f>[8]Cartera_Vencida!B193</f>
        <v>5.2140185798788101</v>
      </c>
      <c r="C193" s="82">
        <f>[8]Cartera_Vencida!C193</f>
        <v>4.6849909699275996</v>
      </c>
      <c r="D193" s="82">
        <f>[8]Cartera_Vencida!D193</f>
        <v>1.9607615809450301</v>
      </c>
      <c r="E193" s="82">
        <f>[8]Cartera_Vencida!E193</f>
        <v>0.76688294321814698</v>
      </c>
      <c r="F193" s="84">
        <f>[8]Cartera_Vencida!F193</f>
        <v>12.626654073969586</v>
      </c>
      <c r="G193" s="82">
        <f>100*B193/[8]Cartera_Bruta!B194</f>
        <v>2.4806669742882006</v>
      </c>
      <c r="H193" s="82">
        <f>100*C193/[8]Cartera_Bruta!C194</f>
        <v>4.6326936763012592</v>
      </c>
      <c r="I193" s="82">
        <f>100*D193/[8]Cartera_Bruta!D194</f>
        <v>4.6321689527472332</v>
      </c>
      <c r="J193" s="82">
        <f>100*E193/[8]Cartera_Bruta!F194</f>
        <v>7.2405778319539316</v>
      </c>
      <c r="K193" s="84">
        <f>+F193*100/[8]Cartera_Bruta!G194</f>
        <v>3.4666160448053964</v>
      </c>
      <c r="L193" s="62">
        <f>5237341023.08523/(10^9)</f>
        <v>5.2373410230852295</v>
      </c>
      <c r="M193" s="62">
        <f>8594350281.80881/(10^9)</f>
        <v>8.5943502818088096</v>
      </c>
      <c r="N193" s="62">
        <f>294715871.676785/(10^9)</f>
        <v>0.29471587167678498</v>
      </c>
      <c r="O193" s="62">
        <f>807779516.83135/(10^9)</f>
        <v>0.80777951683134996</v>
      </c>
      <c r="P193" s="84">
        <f t="shared" si="4"/>
        <v>14.934186693402173</v>
      </c>
      <c r="Q193" s="83">
        <f>100*(B193+L193)/([8]Cartera_Bruta!B194+'G2.4B'!L193)</f>
        <v>4.8515411278281082</v>
      </c>
      <c r="R193" s="82">
        <f>100*(C193+M193)/([8]Cartera_Bruta!C194+'G2.4B'!M193)</f>
        <v>12.102580186153332</v>
      </c>
      <c r="S193" s="82">
        <f>100*(D193+N193)/([8]Cartera_Bruta!D194+'G2.4B'!N193)</f>
        <v>5.2915732152607093</v>
      </c>
      <c r="T193" s="82">
        <f>100*(E193+O193)/([8]Cartera_Bruta!F194+'G2.4B'!O193)</f>
        <v>13.813749456761663</v>
      </c>
      <c r="U193" s="84">
        <f>100*(F193+P193)/([8]Cartera_Bruta!G194+'G2.4B'!P193)</f>
        <v>7.2687309667631821</v>
      </c>
      <c r="V193" s="48" t="str">
        <f t="shared" si="2"/>
        <v>F</v>
      </c>
    </row>
    <row r="194" spans="1:22" x14ac:dyDescent="0.3">
      <c r="A194" s="43">
        <f t="shared" si="3"/>
        <v>41913</v>
      </c>
      <c r="B194" s="83">
        <f>[8]Cartera_Vencida!B194</f>
        <v>5.1638587983907005</v>
      </c>
      <c r="C194" s="82">
        <f>[8]Cartera_Vencida!C194</f>
        <v>4.6690056540960301</v>
      </c>
      <c r="D194" s="82">
        <f>[8]Cartera_Vencida!D194</f>
        <v>2.0067718674010999</v>
      </c>
      <c r="E194" s="82">
        <f>[8]Cartera_Vencida!E194</f>
        <v>0.78649870695380797</v>
      </c>
      <c r="F194" s="84">
        <f>[8]Cartera_Vencida!F194</f>
        <v>12.626135026841638</v>
      </c>
      <c r="G194" s="82">
        <f>100*B194/[8]Cartera_Bruta!B195</f>
        <v>2.4419583818542621</v>
      </c>
      <c r="H194" s="82">
        <f>100*C194/[8]Cartera_Bruta!C195</f>
        <v>4.5646599072605598</v>
      </c>
      <c r="I194" s="82">
        <f>100*D194/[8]Cartera_Bruta!D195</f>
        <v>4.6625507777734096</v>
      </c>
      <c r="J194" s="82">
        <f>100*E194/[8]Cartera_Bruta!F195</f>
        <v>7.3756969463114617</v>
      </c>
      <c r="K194" s="84">
        <f>+F194*100/[8]Cartera_Bruta!G195</f>
        <v>3.4361189216140482</v>
      </c>
      <c r="L194" s="62">
        <f>5256933938.29948/(10^9)</f>
        <v>5.2569339382994809</v>
      </c>
      <c r="M194" s="62">
        <f>8162821058.86818/(10^9)</f>
        <v>8.1628210588681807</v>
      </c>
      <c r="N194" s="62">
        <f>292839128.979389/(10^9)</f>
        <v>0.29283912897938902</v>
      </c>
      <c r="O194" s="62">
        <f>738950765.509613/(10^9)</f>
        <v>0.73895076550961303</v>
      </c>
      <c r="P194" s="84">
        <f t="shared" si="4"/>
        <v>14.451544891656663</v>
      </c>
      <c r="Q194" s="83">
        <f>100*(B194+L194)/([8]Cartera_Bruta!B195+'G2.4B'!L194)</f>
        <v>4.8083960186715577</v>
      </c>
      <c r="R194" s="82">
        <f>100*(C194+M194)/([8]Cartera_Bruta!C195+'G2.4B'!M194)</f>
        <v>11.617899262331512</v>
      </c>
      <c r="S194" s="82">
        <f>100*(D194+N194)/([8]Cartera_Bruta!D195+'G2.4B'!N194)</f>
        <v>5.3068288309615568</v>
      </c>
      <c r="T194" s="82">
        <f>100*(E194+O194)/([8]Cartera_Bruta!F195+'G2.4B'!O194)</f>
        <v>13.378398655506754</v>
      </c>
      <c r="U194" s="84">
        <f>100*(F194+P194)/([8]Cartera_Bruta!G195+'G2.4B'!P194)</f>
        <v>7.0901625882089165</v>
      </c>
      <c r="V194" s="48" t="str">
        <f t="shared" si="2"/>
        <v>F</v>
      </c>
    </row>
    <row r="195" spans="1:22" x14ac:dyDescent="0.3">
      <c r="A195" s="43">
        <f t="shared" si="3"/>
        <v>41944</v>
      </c>
      <c r="B195" s="83">
        <f>[8]Cartera_Vencida!B195</f>
        <v>5.2408910966901701</v>
      </c>
      <c r="C195" s="82">
        <f>[8]Cartera_Vencida!C195</f>
        <v>4.8901150666512496</v>
      </c>
      <c r="D195" s="82">
        <f>[8]Cartera_Vencida!D195</f>
        <v>2.1082235933412399</v>
      </c>
      <c r="E195" s="82">
        <f>[8]Cartera_Vencida!E195</f>
        <v>0.81040603289354596</v>
      </c>
      <c r="F195" s="84">
        <f>[8]Cartera_Vencida!F195</f>
        <v>13.049635789576206</v>
      </c>
      <c r="G195" s="82">
        <f>100*B195/[8]Cartera_Bruta!B196</f>
        <v>2.4189791127405917</v>
      </c>
      <c r="H195" s="82">
        <f>100*C195/[8]Cartera_Bruta!C196</f>
        <v>4.704642875099343</v>
      </c>
      <c r="I195" s="82">
        <f>100*D195/[8]Cartera_Bruta!D196</f>
        <v>4.8316494107128065</v>
      </c>
      <c r="J195" s="82">
        <f>100*E195/[8]Cartera_Bruta!F196</f>
        <v>7.5645904551425591</v>
      </c>
      <c r="K195" s="84">
        <f>+F195*100/[8]Cartera_Bruta!G196</f>
        <v>3.4804018233722975</v>
      </c>
      <c r="L195" s="62">
        <f>5208317323.51303/(10^9)</f>
        <v>5.2083173235130298</v>
      </c>
      <c r="M195" s="62">
        <f>8262652627.24861/(10^9)</f>
        <v>8.2626526272486096</v>
      </c>
      <c r="N195" s="62">
        <f>288687550.846607/(10^9)</f>
        <v>0.28868755084660702</v>
      </c>
      <c r="O195" s="62">
        <f>748577788.972233/(10^9)</f>
        <v>0.74857778897223304</v>
      </c>
      <c r="P195" s="84">
        <f t="shared" si="4"/>
        <v>14.508235290580478</v>
      </c>
      <c r="Q195" s="83">
        <f>100*(B195+L195)/([8]Cartera_Bruta!B196+'G2.4B'!L195)</f>
        <v>4.7097048299881132</v>
      </c>
      <c r="R195" s="82">
        <f>100*(C195+M195)/([8]Cartera_Bruta!C196+'G2.4B'!M195)</f>
        <v>11.722089583463152</v>
      </c>
      <c r="S195" s="82">
        <f>100*(D195+N195)/([8]Cartera_Bruta!D196+'G2.4B'!N195)</f>
        <v>5.4571611139402671</v>
      </c>
      <c r="T195" s="82">
        <f>100*(E195+O195)/([8]Cartera_Bruta!F196+'G2.4B'!O195)</f>
        <v>13.601645858246211</v>
      </c>
      <c r="U195" s="84">
        <f>100*(F195+P195)/([8]Cartera_Bruta!G196+'G2.4B'!P195)</f>
        <v>7.0760185839863485</v>
      </c>
      <c r="V195" s="48" t="str">
        <f t="shared" si="2"/>
        <v>F</v>
      </c>
    </row>
    <row r="196" spans="1:22" x14ac:dyDescent="0.3">
      <c r="A196" s="43">
        <f t="shared" si="3"/>
        <v>41974</v>
      </c>
      <c r="B196" s="83">
        <f>[8]Cartera_Vencida!B196</f>
        <v>5.0942456545214698</v>
      </c>
      <c r="C196" s="82">
        <f>[8]Cartera_Vencida!C196</f>
        <v>4.5654131723267497</v>
      </c>
      <c r="D196" s="82">
        <f>[8]Cartera_Vencida!D196</f>
        <v>1.87862381736032</v>
      </c>
      <c r="E196" s="82">
        <f>[8]Cartera_Vencida!E196</f>
        <v>0.79493799088633399</v>
      </c>
      <c r="F196" s="84">
        <f>[8]Cartera_Vencida!F196</f>
        <v>12.333220635094873</v>
      </c>
      <c r="G196" s="82">
        <f>100*B196/[8]Cartera_Bruta!B197</f>
        <v>2.3090935475730499</v>
      </c>
      <c r="H196" s="82">
        <f>100*C196/[8]Cartera_Bruta!C197</f>
        <v>4.3723249077162389</v>
      </c>
      <c r="I196" s="82">
        <f>100*D196/[8]Cartera_Bruta!D197</f>
        <v>4.290861089946862</v>
      </c>
      <c r="J196" s="82">
        <f>100*E196/[8]Cartera_Bruta!F197</f>
        <v>7.4501136869153655</v>
      </c>
      <c r="K196" s="84">
        <f>+F196*100/[8]Cartera_Bruta!G197</f>
        <v>3.2499893548519063</v>
      </c>
      <c r="L196" s="62">
        <f>5260440018.99211/(10^9)</f>
        <v>5.2604400189921101</v>
      </c>
      <c r="M196" s="62">
        <f>7848473347.17703/(10^9)</f>
        <v>7.8484733471770296</v>
      </c>
      <c r="N196" s="62">
        <f>285923576.246596/(10^9)</f>
        <v>0.28592357624659598</v>
      </c>
      <c r="O196" s="62">
        <f>741566324.359226/(10^9)</f>
        <v>0.74156632435922598</v>
      </c>
      <c r="P196" s="84">
        <f t="shared" si="4"/>
        <v>14.136403266774963</v>
      </c>
      <c r="Q196" s="83">
        <f>100*(B196+L196)/([8]Cartera_Bruta!B197+'G2.4B'!L196)</f>
        <v>4.5842117214167679</v>
      </c>
      <c r="R196" s="82">
        <f>100*(C196+M196)/([8]Cartera_Bruta!C197+'G2.4B'!M196)</f>
        <v>11.057701490088846</v>
      </c>
      <c r="S196" s="82">
        <f>100*(D196+N196)/([8]Cartera_Bruta!D197+'G2.4B'!N196)</f>
        <v>4.9118459540297232</v>
      </c>
      <c r="T196" s="82">
        <f>100*(E196+O196)/([8]Cartera_Bruta!F197+'G2.4B'!O196)</f>
        <v>13.464275138614481</v>
      </c>
      <c r="U196" s="84">
        <f>100*(F196+P196)/([8]Cartera_Bruta!G197+'G2.4B'!P196)</f>
        <v>6.7246411704268985</v>
      </c>
      <c r="V196" s="48" t="str">
        <f t="shared" si="2"/>
        <v>F</v>
      </c>
    </row>
    <row r="197" spans="1:22" x14ac:dyDescent="0.3">
      <c r="A197" s="43">
        <f t="shared" si="3"/>
        <v>42005</v>
      </c>
      <c r="B197" s="83">
        <f>[8]Cartera_Vencida!B197</f>
        <v>5.2345375351013699</v>
      </c>
      <c r="C197" s="82">
        <f>[8]Cartera_Vencida!C197</f>
        <v>4.7447205596025004</v>
      </c>
      <c r="D197" s="82">
        <f>[8]Cartera_Vencida!D197</f>
        <v>2.4552616069074102</v>
      </c>
      <c r="E197" s="82">
        <f>[8]Cartera_Vencida!E197</f>
        <v>0.80627821729670301</v>
      </c>
      <c r="F197" s="84">
        <f>[8]Cartera_Vencida!F197</f>
        <v>13.240797918907981</v>
      </c>
      <c r="G197" s="82">
        <f>100*B197/[8]Cartera_Bruta!B198</f>
        <v>2.3206896693344699</v>
      </c>
      <c r="H197" s="82">
        <f>100*C197/[8]Cartera_Bruta!C198</f>
        <v>4.5526831072679137</v>
      </c>
      <c r="I197" s="82">
        <f>100*D197/[8]Cartera_Bruta!D198</f>
        <v>5.5732045430584281</v>
      </c>
      <c r="J197" s="82">
        <f>100*E197/[8]Cartera_Bruta!F198</f>
        <v>7.5926774601238662</v>
      </c>
      <c r="K197" s="84">
        <f>+F197*100/[8]Cartera_Bruta!G198</f>
        <v>3.4440741564672837</v>
      </c>
      <c r="L197" s="62">
        <f>6329686119.19737/(10^9)</f>
        <v>6.3296861191973699</v>
      </c>
      <c r="M197" s="62">
        <f>7888000641.10032/(10^9)</f>
        <v>7.8880006411003203</v>
      </c>
      <c r="N197" s="62">
        <f>279683006.903305/(10^9)</f>
        <v>0.279683006903305</v>
      </c>
      <c r="O197" s="62">
        <f>686524013.622529/(10^9)</f>
        <v>0.68652401362252902</v>
      </c>
      <c r="P197" s="84">
        <f t="shared" si="4"/>
        <v>15.183893780823524</v>
      </c>
      <c r="Q197" s="83">
        <f>100*(B197+L197)/([8]Cartera_Bruta!B198+'G2.4B'!L197)</f>
        <v>4.9869597546259774</v>
      </c>
      <c r="R197" s="82">
        <f>100*(C197+M197)/([8]Cartera_Bruta!C198+'G2.4B'!M197)</f>
        <v>11.26853876019609</v>
      </c>
      <c r="S197" s="82">
        <f>100*(D197+N197)/([8]Cartera_Bruta!D198+'G2.4B'!N197)</f>
        <v>6.1688942884323286</v>
      </c>
      <c r="T197" s="82">
        <f>100*(E197+O197)/([8]Cartera_Bruta!F198+'G2.4B'!O197)</f>
        <v>13.204002859242557</v>
      </c>
      <c r="U197" s="84">
        <f>100*(F197+P197)/([8]Cartera_Bruta!G198+'G2.4B'!P197)</f>
        <v>7.1126545869972606</v>
      </c>
      <c r="V197" s="48" t="str">
        <f t="shared" ref="V197:V233" si="5">+IF(K197&gt;=5,"T","F")</f>
        <v>F</v>
      </c>
    </row>
    <row r="198" spans="1:22" x14ac:dyDescent="0.3">
      <c r="A198" s="43">
        <f t="shared" si="3"/>
        <v>42036</v>
      </c>
      <c r="B198" s="83">
        <f>[8]Cartera_Vencida!B198</f>
        <v>5.2913610618449898</v>
      </c>
      <c r="C198" s="82">
        <f>[8]Cartera_Vencida!C198</f>
        <v>4.8597681566309499</v>
      </c>
      <c r="D198" s="82">
        <f>[8]Cartera_Vencida!D198</f>
        <v>2.39291255997788</v>
      </c>
      <c r="E198" s="82">
        <f>[8]Cartera_Vencida!E198</f>
        <v>0.76231650481054103</v>
      </c>
      <c r="F198" s="84">
        <f>[8]Cartera_Vencida!F198</f>
        <v>13.306358283264361</v>
      </c>
      <c r="G198" s="82">
        <f>100*B198/[8]Cartera_Bruta!B199</f>
        <v>2.3273033620059262</v>
      </c>
      <c r="H198" s="82">
        <f>100*C198/[8]Cartera_Bruta!C199</f>
        <v>4.6735703172364635</v>
      </c>
      <c r="I198" s="82">
        <f>100*D198/[8]Cartera_Bruta!D199</f>
        <v>5.4072561086689106</v>
      </c>
      <c r="J198" s="82">
        <f>100*E198/[8]Cartera_Bruta!F199</f>
        <v>6.5463965912240099</v>
      </c>
      <c r="K198" s="84">
        <f>+F198*100/[8]Cartera_Bruta!G199</f>
        <v>3.436179696053443</v>
      </c>
      <c r="L198" s="62">
        <f>6328870258.18137/(10^9)</f>
        <v>6.3288702581813698</v>
      </c>
      <c r="M198" s="62">
        <f>7612742612.52375/(10^9)</f>
        <v>7.6127426125237507</v>
      </c>
      <c r="N198" s="62">
        <f>285530101.306382/(10^9)</f>
        <v>0.28553010130638201</v>
      </c>
      <c r="O198" s="62">
        <f>691195023.350592/(10^9)</f>
        <v>0.69119502335059202</v>
      </c>
      <c r="P198" s="84">
        <f t="shared" si="4"/>
        <v>14.918337995362094</v>
      </c>
      <c r="Q198" s="83">
        <f>100*(B198+L198)/([8]Cartera_Bruta!B199+'G2.4B'!L198)</f>
        <v>4.9725185739305751</v>
      </c>
      <c r="R198" s="82">
        <f>100*(C198+M198)/([8]Cartera_Bruta!C199+'G2.4B'!M198)</f>
        <v>11.176405140615742</v>
      </c>
      <c r="S198" s="82">
        <f>100*(D198+N198)/([8]Cartera_Bruta!D199+'G2.4B'!N198)</f>
        <v>6.0136666153145431</v>
      </c>
      <c r="T198" s="82">
        <f>100*(E198+O198)/([8]Cartera_Bruta!F199+'G2.4B'!O198)</f>
        <v>11.78266073740315</v>
      </c>
      <c r="U198" s="84">
        <f>100*(F198+P198)/([8]Cartera_Bruta!G199+'G2.4B'!P198)</f>
        <v>7.0182556168134278</v>
      </c>
      <c r="V198" s="48" t="str">
        <f t="shared" si="5"/>
        <v>F</v>
      </c>
    </row>
    <row r="199" spans="1:22" x14ac:dyDescent="0.3">
      <c r="A199" s="43">
        <f t="shared" si="3"/>
        <v>42064</v>
      </c>
      <c r="B199" s="83">
        <f>[8]Cartera_Vencida!B199</f>
        <v>5.31953636714585</v>
      </c>
      <c r="C199" s="82">
        <f>[8]Cartera_Vencida!C199</f>
        <v>4.8794081615587501</v>
      </c>
      <c r="D199" s="82">
        <f>[8]Cartera_Vencida!D199</f>
        <v>2.2132752827336</v>
      </c>
      <c r="E199" s="82">
        <f>[8]Cartera_Vencida!E199</f>
        <v>0.77631443512958898</v>
      </c>
      <c r="F199" s="84">
        <f>[8]Cartera_Vencida!F199</f>
        <v>13.188534246567789</v>
      </c>
      <c r="G199" s="82">
        <f>100*B199/[8]Cartera_Bruta!B200</f>
        <v>2.3206408143627559</v>
      </c>
      <c r="H199" s="82">
        <f>100*C199/[8]Cartera_Bruta!C200</f>
        <v>4.6577094168196691</v>
      </c>
      <c r="I199" s="82">
        <f>100*D199/[8]Cartera_Bruta!D200</f>
        <v>4.9476462373303329</v>
      </c>
      <c r="J199" s="82">
        <f>100*E199/[8]Cartera_Bruta!F200</f>
        <v>6.6490395564810001</v>
      </c>
      <c r="K199" s="84">
        <f>+F199*100/[8]Cartera_Bruta!G200</f>
        <v>3.3782421193293657</v>
      </c>
      <c r="L199" s="62">
        <f>5686376922.53648/(10^9)</f>
        <v>5.6863769225364802</v>
      </c>
      <c r="M199" s="62">
        <f>8412045072.93303/(10^9)</f>
        <v>8.4120450729330294</v>
      </c>
      <c r="N199" s="62">
        <f>303853718.302049/(10^9)</f>
        <v>0.30385371830204899</v>
      </c>
      <c r="O199" s="62">
        <f>777880940.229206/(10^9)</f>
        <v>0.77788094022920595</v>
      </c>
      <c r="P199" s="84">
        <f t="shared" si="4"/>
        <v>15.180156654000765</v>
      </c>
      <c r="Q199" s="83">
        <f>100*(B199+L199)/([8]Cartera_Bruta!B200+'G2.4B'!L199)</f>
        <v>4.6850934241690911</v>
      </c>
      <c r="R199" s="82">
        <f>100*(C199+M199)/([8]Cartera_Bruta!C200+'G2.4B'!M199)</f>
        <v>11.744485099310792</v>
      </c>
      <c r="S199" s="82">
        <f>100*(D199+N199)/([8]Cartera_Bruta!D200+'G2.4B'!N199)</f>
        <v>5.5889306405807666</v>
      </c>
      <c r="T199" s="82">
        <f>100*(E199+O199)/([8]Cartera_Bruta!F200+'G2.4B'!O199)</f>
        <v>12.480020129974472</v>
      </c>
      <c r="U199" s="84">
        <f>100*(F199+P199)/([8]Cartera_Bruta!G200+'G2.4B'!P199)</f>
        <v>6.9946581657466105</v>
      </c>
      <c r="V199" s="48" t="str">
        <f t="shared" si="5"/>
        <v>F</v>
      </c>
    </row>
    <row r="200" spans="1:22" x14ac:dyDescent="0.3">
      <c r="A200" s="43">
        <f t="shared" ref="A200:A233" si="6">+DATE(YEAR(A199),MONTH(A199)+1,1)</f>
        <v>42095</v>
      </c>
      <c r="B200" s="83">
        <f>[8]Cartera_Vencida!B200</f>
        <v>5.4029394088124301</v>
      </c>
      <c r="C200" s="82">
        <f>[8]Cartera_Vencida!C200</f>
        <v>5.0878324300000299</v>
      </c>
      <c r="D200" s="82">
        <f>[8]Cartera_Vencida!D200</f>
        <v>2.4194822069170199</v>
      </c>
      <c r="E200" s="82">
        <f>[8]Cartera_Vencida!E200</f>
        <v>0.74955847170479795</v>
      </c>
      <c r="F200" s="84">
        <f>[8]Cartera_Vencida!F200</f>
        <v>13.659812517434279</v>
      </c>
      <c r="G200" s="82">
        <f>100*B200/[8]Cartera_Bruta!B201</f>
        <v>2.3658332304453653</v>
      </c>
      <c r="H200" s="82">
        <f>100*C200/[8]Cartera_Bruta!C201</f>
        <v>4.8287696417518653</v>
      </c>
      <c r="I200" s="82">
        <f>100*D200/[8]Cartera_Bruta!D201</f>
        <v>5.3474322147712332</v>
      </c>
      <c r="J200" s="82">
        <f>100*E200/[8]Cartera_Bruta!F201</f>
        <v>6.3977612588977877</v>
      </c>
      <c r="K200" s="84">
        <f>+F200*100/[8]Cartera_Bruta!G201</f>
        <v>3.496238443689256</v>
      </c>
      <c r="L200" s="62">
        <f>5697512734.65965/(10^9)</f>
        <v>5.6975127346596501</v>
      </c>
      <c r="M200" s="62">
        <f>8385664874.78825/(10^9)</f>
        <v>8.3856648747882492</v>
      </c>
      <c r="N200" s="62">
        <f>292628811.862225/(10^9)</f>
        <v>0.292628811862225</v>
      </c>
      <c r="O200" s="62">
        <f>761223812.177942/(10^9)</f>
        <v>0.76122381217794199</v>
      </c>
      <c r="P200" s="84">
        <f t="shared" si="4"/>
        <v>15.137030233488066</v>
      </c>
      <c r="Q200" s="83">
        <f>100*(B200+L200)/([8]Cartera_Bruta!B201+'G2.4B'!L200)</f>
        <v>4.7423410043518075</v>
      </c>
      <c r="R200" s="82">
        <f>100*(C200+M200)/([8]Cartera_Bruta!C201+'G2.4B'!M200)</f>
        <v>11.844765078187685</v>
      </c>
      <c r="S200" s="82">
        <f>100*(D200+N200)/([8]Cartera_Bruta!D201+'G2.4B'!N200)</f>
        <v>5.9556688312498247</v>
      </c>
      <c r="T200" s="82">
        <f>100*(E200+O200)/([8]Cartera_Bruta!F201+'G2.4B'!O200)</f>
        <v>12.108369888110474</v>
      </c>
      <c r="U200" s="84">
        <f>100*(F200+P200)/([8]Cartera_Bruta!G201+'G2.4B'!P200)</f>
        <v>7.0956621763363694</v>
      </c>
      <c r="V200" s="48" t="str">
        <f t="shared" si="5"/>
        <v>F</v>
      </c>
    </row>
    <row r="201" spans="1:22" x14ac:dyDescent="0.3">
      <c r="A201" s="43">
        <f t="shared" si="6"/>
        <v>42125</v>
      </c>
      <c r="B201" s="83">
        <f>[8]Cartera_Vencida!B201</f>
        <v>5.4123413274507302</v>
      </c>
      <c r="C201" s="82">
        <f>[8]Cartera_Vencida!C201</f>
        <v>5.1985368508088703</v>
      </c>
      <c r="D201" s="82">
        <f>[8]Cartera_Vencida!D201</f>
        <v>2.5096782852714399</v>
      </c>
      <c r="E201" s="82">
        <f>[8]Cartera_Vencida!E201</f>
        <v>0.72146382900633399</v>
      </c>
      <c r="F201" s="84">
        <f>[8]Cartera_Vencida!F201</f>
        <v>13.842020292537374</v>
      </c>
      <c r="G201" s="82">
        <f>100*B201/[8]Cartera_Bruta!B202</f>
        <v>2.3302499451950753</v>
      </c>
      <c r="H201" s="82">
        <f>100*C201/[8]Cartera_Bruta!C202</f>
        <v>4.9084228794504154</v>
      </c>
      <c r="I201" s="82">
        <f>100*D201/[8]Cartera_Bruta!D202</f>
        <v>5.48834440228124</v>
      </c>
      <c r="J201" s="82">
        <f>100*E201/[8]Cartera_Bruta!F202</f>
        <v>6.1696629980326732</v>
      </c>
      <c r="K201" s="84">
        <f>+F201*100/[8]Cartera_Bruta!G202</f>
        <v>3.4990285334613582</v>
      </c>
      <c r="L201" s="62">
        <f>5766873287.8256/(10^9)</f>
        <v>5.7668732878255993</v>
      </c>
      <c r="M201" s="62">
        <f>8649208094.07059/(10^9)</f>
        <v>8.6492080940705893</v>
      </c>
      <c r="N201" s="62">
        <f>289179782.445151/(10^9)</f>
        <v>0.28917978244515097</v>
      </c>
      <c r="O201" s="62">
        <f>776032005.379388/(10^9)</f>
        <v>0.77603200537938799</v>
      </c>
      <c r="P201" s="84">
        <f t="shared" si="4"/>
        <v>15.481293169720727</v>
      </c>
      <c r="Q201" s="83">
        <f>100*(B201+L201)/([8]Cartera_Bruta!B202+'G2.4B'!L201)</f>
        <v>4.6965316402099857</v>
      </c>
      <c r="R201" s="82">
        <f>100*(C201+M201)/([8]Cartera_Bruta!C202+'G2.4B'!M201)</f>
        <v>12.087793469200882</v>
      </c>
      <c r="S201" s="82">
        <f>100*(D201+N201)/([8]Cartera_Bruta!D202+'G2.4B'!N201)</f>
        <v>6.0822792051191348</v>
      </c>
      <c r="T201" s="82">
        <f>100*(E201+O201)/([8]Cartera_Bruta!F202+'G2.4B'!O201)</f>
        <v>12.009015462140098</v>
      </c>
      <c r="U201" s="84">
        <f>100*(F201+P201)/([8]Cartera_Bruta!G202+'G2.4B'!P201)</f>
        <v>7.1332829782684808</v>
      </c>
      <c r="V201" s="48" t="str">
        <f t="shared" si="5"/>
        <v>F</v>
      </c>
    </row>
    <row r="202" spans="1:22" x14ac:dyDescent="0.3">
      <c r="A202" s="43">
        <f t="shared" si="6"/>
        <v>42156</v>
      </c>
      <c r="B202" s="83">
        <f>[8]Cartera_Vencida!B202</f>
        <v>5.5071958571134703</v>
      </c>
      <c r="C202" s="82">
        <f>[8]Cartera_Vencida!C202</f>
        <v>5.2596961182272901</v>
      </c>
      <c r="D202" s="82">
        <f>[8]Cartera_Vencida!D202</f>
        <v>2.5481472674923502</v>
      </c>
      <c r="E202" s="82">
        <f>[8]Cartera_Vencida!E202</f>
        <v>0.74454107078138698</v>
      </c>
      <c r="F202" s="84">
        <f>[8]Cartera_Vencida!F202</f>
        <v>14.059580313614498</v>
      </c>
      <c r="G202" s="82">
        <f>100*B202/[8]Cartera_Bruta!B203</f>
        <v>2.338837624339678</v>
      </c>
      <c r="H202" s="82">
        <f>100*C202/[8]Cartera_Bruta!C203</f>
        <v>4.8993654420337913</v>
      </c>
      <c r="I202" s="82">
        <f>100*D202/[8]Cartera_Bruta!D203</f>
        <v>5.5583589482308513</v>
      </c>
      <c r="J202" s="82">
        <f>100*E202/[8]Cartera_Bruta!F203</f>
        <v>6.3504885504001605</v>
      </c>
      <c r="K202" s="84">
        <f>+F202*100/[8]Cartera_Bruta!G203</f>
        <v>3.5114755306538243</v>
      </c>
      <c r="L202" s="62">
        <f>5669512008.16201/(10^9)</f>
        <v>5.6695120081620098</v>
      </c>
      <c r="M202" s="62">
        <f>8800616816.20673/(10^9)</f>
        <v>8.8006168162067304</v>
      </c>
      <c r="N202" s="62">
        <f>287549434.780161/(10^9)</f>
        <v>0.28754943478016104</v>
      </c>
      <c r="O202" s="62">
        <f>790484122.47039/(10^9)</f>
        <v>0.79048412247039002</v>
      </c>
      <c r="P202" s="84">
        <f t="shared" si="4"/>
        <v>15.54816238161929</v>
      </c>
      <c r="Q202" s="83">
        <f>100*(B202+L202)/([8]Cartera_Bruta!B203+'G2.4B'!L202)</f>
        <v>4.6350084971520022</v>
      </c>
      <c r="R202" s="82">
        <f>100*(C202+M202)/([8]Cartera_Bruta!C203+'G2.4B'!M202)</f>
        <v>12.104758196301141</v>
      </c>
      <c r="S202" s="82">
        <f>100*(D202+N202)/([8]Cartera_Bruta!D203+'G2.4B'!N202)</f>
        <v>6.14704336849264</v>
      </c>
      <c r="T202" s="82">
        <f>100*(E202+O202)/([8]Cartera_Bruta!F203+'G2.4B'!O202)</f>
        <v>12.265837432823565</v>
      </c>
      <c r="U202" s="84">
        <f>100*(F202+P202)/([8]Cartera_Bruta!G203+'G2.4B'!P202)</f>
        <v>7.1183120352937763</v>
      </c>
      <c r="V202" s="48" t="str">
        <f t="shared" si="5"/>
        <v>F</v>
      </c>
    </row>
    <row r="203" spans="1:22" x14ac:dyDescent="0.3">
      <c r="A203" s="43">
        <f t="shared" si="6"/>
        <v>42186</v>
      </c>
      <c r="B203" s="83">
        <f>[8]Cartera_Vencida!B203</f>
        <v>5.5816372138804899</v>
      </c>
      <c r="C203" s="82">
        <f>[8]Cartera_Vencida!C203</f>
        <v>5.0383550687748402</v>
      </c>
      <c r="D203" s="82">
        <f>[8]Cartera_Vencida!D203</f>
        <v>2.4368890331481099</v>
      </c>
      <c r="E203" s="82">
        <f>[8]Cartera_Vencida!E203</f>
        <v>0.74827506548381906</v>
      </c>
      <c r="F203" s="84">
        <f>[8]Cartera_Vencida!F203</f>
        <v>13.80515638128726</v>
      </c>
      <c r="G203" s="82">
        <f>100*B203/[8]Cartera_Bruta!B204</f>
        <v>2.33493983004132</v>
      </c>
      <c r="H203" s="82">
        <f>100*C203/[8]Cartera_Bruta!C204</f>
        <v>4.6674750627301123</v>
      </c>
      <c r="I203" s="82">
        <f>100*D203/[8]Cartera_Bruta!D204</f>
        <v>5.2470468837734181</v>
      </c>
      <c r="J203" s="82">
        <f>100*E203/[8]Cartera_Bruta!F204</f>
        <v>6.3617976822734361</v>
      </c>
      <c r="K203" s="84">
        <f>+F203*100/[8]Cartera_Bruta!G204</f>
        <v>3.4070018537985773</v>
      </c>
      <c r="L203" s="62">
        <f>5711398631.38779/(10^9)</f>
        <v>5.71139863138779</v>
      </c>
      <c r="M203" s="62">
        <f>9057884029.23511/(10^9)</f>
        <v>9.0578840292351099</v>
      </c>
      <c r="N203" s="62">
        <f>286038151.764775/(10^9)</f>
        <v>0.28603815176477498</v>
      </c>
      <c r="O203" s="62">
        <f>797979019.382265/(10^9)</f>
        <v>0.79797901938226501</v>
      </c>
      <c r="P203" s="84">
        <f t="shared" si="4"/>
        <v>15.853299831769938</v>
      </c>
      <c r="Q203" s="83">
        <f>100*(B203+L203)/([8]Cartera_Bruta!B204+'G2.4B'!L203)</f>
        <v>4.6139252082225841</v>
      </c>
      <c r="R203" s="82">
        <f>100*(C203+M203)/([8]Cartera_Bruta!C204+'G2.4B'!M203)</f>
        <v>12.047662283305181</v>
      </c>
      <c r="S203" s="82">
        <f>100*(D203+N203)/([8]Cartera_Bruta!D204+'G2.4B'!N203)</f>
        <v>5.8270486760906151</v>
      </c>
      <c r="T203" s="82">
        <f>100*(E203+O203)/([8]Cartera_Bruta!F204+'G2.4B'!O203)</f>
        <v>12.310954227458252</v>
      </c>
      <c r="U203" s="84">
        <f>100*(F203+P203)/([8]Cartera_Bruta!G204+'G2.4B'!P203)</f>
        <v>7.0438796006069184</v>
      </c>
      <c r="V203" s="48" t="str">
        <f t="shared" si="5"/>
        <v>F</v>
      </c>
    </row>
    <row r="204" spans="1:22" x14ac:dyDescent="0.3">
      <c r="A204" s="43">
        <f t="shared" si="6"/>
        <v>42217</v>
      </c>
      <c r="B204" s="83">
        <f>[8]Cartera_Vencida!B204</f>
        <v>5.7899041003528993</v>
      </c>
      <c r="C204" s="82">
        <f>[8]Cartera_Vencida!C204</f>
        <v>5.1002701514507107</v>
      </c>
      <c r="D204" s="82">
        <f>[8]Cartera_Vencida!D204</f>
        <v>2.54222197959148</v>
      </c>
      <c r="E204" s="82">
        <f>[8]Cartera_Vencida!E204</f>
        <v>0.744850936073712</v>
      </c>
      <c r="F204" s="84">
        <f>[8]Cartera_Vencida!F204</f>
        <v>14.177247167468803</v>
      </c>
      <c r="G204" s="82">
        <f>100*B204/[8]Cartera_Bruta!B205</f>
        <v>2.3551391034001665</v>
      </c>
      <c r="H204" s="82">
        <f>100*C204/[8]Cartera_Bruta!C205</f>
        <v>4.6982919142604116</v>
      </c>
      <c r="I204" s="82">
        <f>100*D204/[8]Cartera_Bruta!D205</f>
        <v>5.4144694856704483</v>
      </c>
      <c r="J204" s="82">
        <f>100*E204/[8]Cartera_Bruta!F205</f>
        <v>6.3635391633653997</v>
      </c>
      <c r="K204" s="84">
        <f>+F204*100/[8]Cartera_Bruta!G205</f>
        <v>3.4322948124065098</v>
      </c>
      <c r="L204" s="62">
        <f>5772567995.51829/(10^9)</f>
        <v>5.7725679955182896</v>
      </c>
      <c r="M204" s="62">
        <f>9093082397.58805/(10^9)</f>
        <v>9.0930823975880504</v>
      </c>
      <c r="N204" s="62">
        <f>282837314.136094/(10^9)</f>
        <v>0.28283731413609398</v>
      </c>
      <c r="O204" s="62">
        <f>833420338.041138/(10^9)</f>
        <v>0.83342033804113802</v>
      </c>
      <c r="P204" s="84">
        <f t="shared" si="4"/>
        <v>15.981908045283571</v>
      </c>
      <c r="Q204" s="83">
        <f>100*(B204+L204)/([8]Cartera_Bruta!B205+'G2.4B'!L204)</f>
        <v>4.5953242325873491</v>
      </c>
      <c r="R204" s="82">
        <f>100*(C204+M204)/([8]Cartera_Bruta!C205+'G2.4B'!M204)</f>
        <v>12.064158787859173</v>
      </c>
      <c r="S204" s="82">
        <f>100*(D204+N204)/([8]Cartera_Bruta!D205+'G2.4B'!N204)</f>
        <v>5.9808333589182379</v>
      </c>
      <c r="T204" s="82">
        <f>100*(E204+O204)/([8]Cartera_Bruta!F205+'G2.4B'!O204)</f>
        <v>12.587501842672175</v>
      </c>
      <c r="U204" s="84">
        <f>100*(F204+P204)/([8]Cartera_Bruta!G205+'G2.4B'!P204)</f>
        <v>7.0295100165275795</v>
      </c>
      <c r="V204" s="48" t="str">
        <f t="shared" si="5"/>
        <v>F</v>
      </c>
    </row>
    <row r="205" spans="1:22" x14ac:dyDescent="0.3">
      <c r="A205" s="43">
        <f t="shared" si="6"/>
        <v>42248</v>
      </c>
      <c r="B205" s="83">
        <f>[8]Cartera_Vencida!B205</f>
        <v>5.7967492224992796</v>
      </c>
      <c r="C205" s="82">
        <f>[8]Cartera_Vencida!C205</f>
        <v>5.0180312912296303</v>
      </c>
      <c r="D205" s="82">
        <f>[8]Cartera_Vencida!D205</f>
        <v>2.4819814752328</v>
      </c>
      <c r="E205" s="82">
        <f>[8]Cartera_Vencida!E205</f>
        <v>0.74480181580250004</v>
      </c>
      <c r="F205" s="84">
        <f>[8]Cartera_Vencida!F205</f>
        <v>14.041563804764209</v>
      </c>
      <c r="G205" s="82">
        <f>100*B205/[8]Cartera_Bruta!B206</f>
        <v>2.3678202924239389</v>
      </c>
      <c r="H205" s="82">
        <f>100*C205/[8]Cartera_Bruta!C206</f>
        <v>4.5965399069246669</v>
      </c>
      <c r="I205" s="82">
        <f>100*D205/[8]Cartera_Bruta!D206</f>
        <v>5.2165079708920503</v>
      </c>
      <c r="J205" s="82">
        <f>100*E205/[8]Cartera_Bruta!F206</f>
        <v>6.350505639723333</v>
      </c>
      <c r="K205" s="84">
        <f>+F205*100/[8]Cartera_Bruta!G206</f>
        <v>3.3974998362980147</v>
      </c>
      <c r="L205" s="62">
        <f>5754348548.00724/(10^9)</f>
        <v>5.7543485480072407</v>
      </c>
      <c r="M205" s="62">
        <f>9093340095.7075/(10^9)</f>
        <v>9.0933400957075001</v>
      </c>
      <c r="N205" s="62">
        <f>281741743.806443/(10^9)</f>
        <v>0.28174174380644296</v>
      </c>
      <c r="O205" s="62">
        <f>808389437.684216/(10^9)</f>
        <v>0.80838943768421601</v>
      </c>
      <c r="P205" s="84">
        <f t="shared" si="4"/>
        <v>15.937819825205398</v>
      </c>
      <c r="Q205" s="83">
        <f>100*(B205+L205)/([8]Cartera_Bruta!B206+'G2.4B'!L205)</f>
        <v>4.6099637870826919</v>
      </c>
      <c r="R205" s="82">
        <f>100*(C205+M205)/([8]Cartera_Bruta!C206+'G2.4B'!M205)</f>
        <v>11.932185218654617</v>
      </c>
      <c r="S205" s="82">
        <f>100*(D205+N205)/([8]Cartera_Bruta!D206+'G2.4B'!N205)</f>
        <v>5.7744655066712589</v>
      </c>
      <c r="T205" s="82">
        <f>100*(E205+O205)/([8]Cartera_Bruta!F206+'G2.4B'!O205)</f>
        <v>12.389236510491266</v>
      </c>
      <c r="U205" s="84">
        <f>100*(F205+P205)/([8]Cartera_Bruta!G206+'G2.4B'!P205)</f>
        <v>6.9844746156143369</v>
      </c>
      <c r="V205" s="48" t="str">
        <f t="shared" si="5"/>
        <v>F</v>
      </c>
    </row>
    <row r="206" spans="1:22" x14ac:dyDescent="0.3">
      <c r="A206" s="43">
        <f t="shared" si="6"/>
        <v>42278</v>
      </c>
      <c r="B206" s="83">
        <f>[8]Cartera_Vencida!B206</f>
        <v>5.6145220692957798</v>
      </c>
      <c r="C206" s="82">
        <f>[8]Cartera_Vencida!C206</f>
        <v>5.0532653373774599</v>
      </c>
      <c r="D206" s="82">
        <f>[8]Cartera_Vencida!D206</f>
        <v>2.5269843070768099</v>
      </c>
      <c r="E206" s="82">
        <f>[8]Cartera_Vencida!E206</f>
        <v>0.75316724801562707</v>
      </c>
      <c r="F206" s="84">
        <f>[8]Cartera_Vencida!F206</f>
        <v>13.947938961765677</v>
      </c>
      <c r="G206" s="82">
        <f>100*B206/[8]Cartera_Bruta!B207</f>
        <v>2.2896555883082956</v>
      </c>
      <c r="H206" s="82">
        <f>100*C206/[8]Cartera_Bruta!C207</f>
        <v>4.6021518000829458</v>
      </c>
      <c r="I206" s="82">
        <f>100*D206/[8]Cartera_Bruta!D207</f>
        <v>5.2959627084248257</v>
      </c>
      <c r="J206" s="82">
        <f>100*E206/[8]Cartera_Bruta!F207</f>
        <v>6.4050880552921532</v>
      </c>
      <c r="K206" s="84">
        <f>+F206*100/[8]Cartera_Bruta!G207</f>
        <v>3.365093217323301</v>
      </c>
      <c r="L206" s="62">
        <f>5843339657.93763/(10^9)</f>
        <v>5.84333965793763</v>
      </c>
      <c r="M206" s="62">
        <f>9291051821.93689/(10^9)</f>
        <v>9.2910518219368896</v>
      </c>
      <c r="N206" s="62">
        <f>279979944.403786/(10^9)</f>
        <v>0.27997994440378599</v>
      </c>
      <c r="O206" s="62">
        <f>826768605.341765/(10^9)</f>
        <v>0.82676860534176499</v>
      </c>
      <c r="P206" s="84">
        <f t="shared" si="4"/>
        <v>16.24114002962007</v>
      </c>
      <c r="Q206" s="83">
        <f>100*(B206+L206)/([8]Cartera_Bruta!B207+'G2.4B'!L206)</f>
        <v>4.5638695461697747</v>
      </c>
      <c r="R206" s="82">
        <f>100*(C206+M206)/([8]Cartera_Bruta!C207+'G2.4B'!M206)</f>
        <v>12.044606424276102</v>
      </c>
      <c r="S206" s="82">
        <f>100*(D206+N206)/([8]Cartera_Bruta!D207+'G2.4B'!N206)</f>
        <v>5.8484177223044975</v>
      </c>
      <c r="T206" s="82">
        <f>100*(E206+O206)/([8]Cartera_Bruta!F207+'G2.4B'!O206)</f>
        <v>12.55346203235017</v>
      </c>
      <c r="U206" s="84">
        <f>100*(F206+P206)/([8]Cartera_Bruta!G207+'G2.4B'!P206)</f>
        <v>7.0088161706822234</v>
      </c>
      <c r="V206" s="48" t="str">
        <f t="shared" si="5"/>
        <v>F</v>
      </c>
    </row>
    <row r="207" spans="1:22" x14ac:dyDescent="0.3">
      <c r="A207" s="43">
        <f t="shared" si="6"/>
        <v>42309</v>
      </c>
      <c r="B207" s="83">
        <f>[8]Cartera_Vencida!B207</f>
        <v>5.8386494271603002</v>
      </c>
      <c r="C207" s="82">
        <f>[8]Cartera_Vencida!C207</f>
        <v>5.2185010128014495</v>
      </c>
      <c r="D207" s="82">
        <f>[8]Cartera_Vencida!D207</f>
        <v>2.6491310784853099</v>
      </c>
      <c r="E207" s="82">
        <f>[8]Cartera_Vencida!E207</f>
        <v>0.77501248818610602</v>
      </c>
      <c r="F207" s="84">
        <f>[8]Cartera_Vencida!F207</f>
        <v>14.481294006633163</v>
      </c>
      <c r="G207" s="82">
        <f>100*B207/[8]Cartera_Bruta!B208</f>
        <v>2.3527279943287427</v>
      </c>
      <c r="H207" s="82">
        <f>100*C207/[8]Cartera_Bruta!C208</f>
        <v>4.7169838819013954</v>
      </c>
      <c r="I207" s="82">
        <f>100*D207/[8]Cartera_Bruta!D208</f>
        <v>5.4751308814716513</v>
      </c>
      <c r="J207" s="82">
        <f>100*E207/[8]Cartera_Bruta!F208</f>
        <v>6.5885294478571916</v>
      </c>
      <c r="K207" s="84">
        <f>+F207*100/[8]Cartera_Bruta!G208</f>
        <v>3.4566090079387046</v>
      </c>
      <c r="L207" s="62">
        <f>5969136674.21601/(10^9)</f>
        <v>5.9691366742160099</v>
      </c>
      <c r="M207" s="62">
        <f>9365178022.56846/(10^9)</f>
        <v>9.3651780225684611</v>
      </c>
      <c r="N207" s="62">
        <f>276658643.158181/(10^9)</f>
        <v>0.27665864315818101</v>
      </c>
      <c r="O207" s="62">
        <f>755981423.057613/(10^9)</f>
        <v>0.75598142305761307</v>
      </c>
      <c r="P207" s="84">
        <f t="shared" si="4"/>
        <v>16.366954763000265</v>
      </c>
      <c r="Q207" s="83">
        <f>100*(B207+L207)/([8]Cartera_Bruta!B208+'G2.4B'!L207)</f>
        <v>4.6462794436584796</v>
      </c>
      <c r="R207" s="82">
        <f>100*(C207+M207)/([8]Cartera_Bruta!C208+'G2.4B'!M207)</f>
        <v>12.153335768191312</v>
      </c>
      <c r="S207" s="82">
        <f>100*(D207+N207)/([8]Cartera_Bruta!D208+'G2.4B'!N207)</f>
        <v>6.0125402242624642</v>
      </c>
      <c r="T207" s="82">
        <f>100*(E207+O207)/([8]Cartera_Bruta!F208+'G2.4B'!O207)</f>
        <v>12.229324920509425</v>
      </c>
      <c r="U207" s="84">
        <f>100*(F207+P207)/([8]Cartera_Bruta!G208+'G2.4B'!P207)</f>
        <v>7.0864678686463085</v>
      </c>
      <c r="V207" s="48" t="str">
        <f t="shared" si="5"/>
        <v>F</v>
      </c>
    </row>
    <row r="208" spans="1:22" x14ac:dyDescent="0.3">
      <c r="A208" s="43">
        <f t="shared" si="6"/>
        <v>42339</v>
      </c>
      <c r="B208" s="83">
        <f>[8]Cartera_Vencida!B208</f>
        <v>5.3558220303597599</v>
      </c>
      <c r="C208" s="82">
        <f>[8]Cartera_Vencida!C208</f>
        <v>4.9494470751061197</v>
      </c>
      <c r="D208" s="82">
        <f>[8]Cartera_Vencida!D208</f>
        <v>2.4135910471542301</v>
      </c>
      <c r="E208" s="82">
        <f>[8]Cartera_Vencida!E208</f>
        <v>0.75691169440321104</v>
      </c>
      <c r="F208" s="84">
        <f>[8]Cartera_Vencida!F208</f>
        <v>13.475771847023321</v>
      </c>
      <c r="G208" s="82">
        <f>100*B208/[8]Cartera_Bruta!B209</f>
        <v>2.1690369863068333</v>
      </c>
      <c r="H208" s="82">
        <f>100*C208/[8]Cartera_Bruta!C209</f>
        <v>4.457931359773478</v>
      </c>
      <c r="I208" s="82">
        <f>100*D208/[8]Cartera_Bruta!D209</f>
        <v>4.9270261576607917</v>
      </c>
      <c r="J208" s="82">
        <f>100*E208/[8]Cartera_Bruta!F209</f>
        <v>6.4706963517785541</v>
      </c>
      <c r="K208" s="84">
        <f>+F208*100/[8]Cartera_Bruta!G209</f>
        <v>3.2190049064085087</v>
      </c>
      <c r="L208" s="62">
        <f>6076495381.27743/(10^9)</f>
        <v>6.0764953812774296</v>
      </c>
      <c r="M208" s="62">
        <f>9463797568.29531/(10^9)</f>
        <v>9.463797568295309</v>
      </c>
      <c r="N208" s="62">
        <f>274327502.136863/(10^9)</f>
        <v>0.27432750213686297</v>
      </c>
      <c r="O208" s="62">
        <f>798288298.974335/(10^9)</f>
        <v>0.79828829897433495</v>
      </c>
      <c r="P208" s="84">
        <f t="shared" si="4"/>
        <v>16.612908750683935</v>
      </c>
      <c r="Q208" s="83">
        <f>100*(B208+L208)/([8]Cartera_Bruta!B209+'G2.4B'!L208)</f>
        <v>4.5187355644590781</v>
      </c>
      <c r="R208" s="82">
        <f>100*(C208+M208)/([8]Cartera_Bruta!C209+'G2.4B'!M208)</f>
        <v>11.962246863840917</v>
      </c>
      <c r="S208" s="82">
        <f>100*(D208+N208)/([8]Cartera_Bruta!D209+'G2.4B'!N208)</f>
        <v>5.4564729614571021</v>
      </c>
      <c r="T208" s="82">
        <f>100*(E208+O208)/([8]Cartera_Bruta!F209+'G2.4B'!O208)</f>
        <v>12.445762773689507</v>
      </c>
      <c r="U208" s="84">
        <f>100*(F208+P208)/([8]Cartera_Bruta!G209+'G2.4B'!P208)</f>
        <v>6.9130522662635743</v>
      </c>
      <c r="V208" s="48" t="str">
        <f t="shared" si="5"/>
        <v>F</v>
      </c>
    </row>
    <row r="209" spans="1:22" x14ac:dyDescent="0.3">
      <c r="A209" s="43">
        <f t="shared" si="6"/>
        <v>42370</v>
      </c>
      <c r="B209" s="83">
        <f>[8]Cartera_Vencida!B209</f>
        <v>5.7137095055725204</v>
      </c>
      <c r="C209" s="82">
        <f>[8]Cartera_Vencida!C209</f>
        <v>5.0943532795258903</v>
      </c>
      <c r="D209" s="82">
        <f>[8]Cartera_Vencida!D209</f>
        <v>2.5883094932531701</v>
      </c>
      <c r="E209" s="82">
        <f>[8]Cartera_Vencida!E209</f>
        <v>0.78018290833622206</v>
      </c>
      <c r="F209" s="84">
        <f>[8]Cartera_Vencida!F209</f>
        <v>14.176555186687803</v>
      </c>
      <c r="G209" s="82">
        <f>100*B209/[8]Cartera_Bruta!B210</f>
        <v>2.3172571510217006</v>
      </c>
      <c r="H209" s="82">
        <f>100*C209/[8]Cartera_Bruta!C210</f>
        <v>4.6126899197135849</v>
      </c>
      <c r="I209" s="82">
        <f>100*D209/[8]Cartera_Bruta!D210</f>
        <v>5.2737037502786004</v>
      </c>
      <c r="J209" s="82">
        <f>100*E209/[8]Cartera_Bruta!F210</f>
        <v>6.7345125666953001</v>
      </c>
      <c r="K209" s="84">
        <f>+F209*100/[8]Cartera_Bruta!G210</f>
        <v>3.3941299925660391</v>
      </c>
      <c r="L209" s="62">
        <f>6202132042.04284/(10^9)</f>
        <v>6.2021320420428401</v>
      </c>
      <c r="M209" s="62">
        <f>9744971282.34296/(10^9)</f>
        <v>9.7449712823429611</v>
      </c>
      <c r="N209" s="62">
        <f>272533394.728045/(10^9)</f>
        <v>0.272533394728045</v>
      </c>
      <c r="O209" s="62">
        <f>807919393.860369/(10^9)</f>
        <v>0.80791939386036893</v>
      </c>
      <c r="P209" s="84">
        <f t="shared" si="4"/>
        <v>17.027556112974214</v>
      </c>
      <c r="Q209" s="83">
        <f>100*(B209+L209)/([8]Cartera_Bruta!B210+'G2.4B'!L209)</f>
        <v>4.7140255094325845</v>
      </c>
      <c r="R209" s="82">
        <f>100*(C209+M209)/([8]Cartera_Bruta!C210+'G2.4B'!M209)</f>
        <v>12.346852240362775</v>
      </c>
      <c r="S209" s="82">
        <f>100*(D209+N209)/([8]Cartera_Bruta!D210+'G2.4B'!N209)</f>
        <v>5.7968039523717776</v>
      </c>
      <c r="T209" s="82">
        <f>100*(E209+O209)/([8]Cartera_Bruta!F210+'G2.4B'!O209)</f>
        <v>12.81475323968292</v>
      </c>
      <c r="U209" s="84">
        <f>100*(F209+P209)/([8]Cartera_Bruta!G210+'G2.4B'!P209)</f>
        <v>7.1782075533958922</v>
      </c>
      <c r="V209" s="48" t="str">
        <f t="shared" si="5"/>
        <v>F</v>
      </c>
    </row>
    <row r="210" spans="1:22" x14ac:dyDescent="0.3">
      <c r="A210" s="43">
        <f t="shared" si="6"/>
        <v>42401</v>
      </c>
      <c r="B210" s="83">
        <f>[8]Cartera_Vencida!B210</f>
        <v>5.9466910598100799</v>
      </c>
      <c r="C210" s="82">
        <f>[8]Cartera_Vencida!C210</f>
        <v>5.2498074745714103</v>
      </c>
      <c r="D210" s="82">
        <f>[8]Cartera_Vencida!D210</f>
        <v>2.5692644155929498</v>
      </c>
      <c r="E210" s="82">
        <f>[8]Cartera_Vencida!E210</f>
        <v>0.77926280852087104</v>
      </c>
      <c r="F210" s="84">
        <f>[8]Cartera_Vencida!F210</f>
        <v>14.545025758495312</v>
      </c>
      <c r="G210" s="82">
        <f>100*B210/[8]Cartera_Bruta!B211</f>
        <v>2.3985082904883708</v>
      </c>
      <c r="H210" s="82">
        <f>100*C210/[8]Cartera_Bruta!C211</f>
        <v>4.7768334204441238</v>
      </c>
      <c r="I210" s="82">
        <f>100*D210/[8]Cartera_Bruta!D211</f>
        <v>5.3033482335438453</v>
      </c>
      <c r="J210" s="82">
        <f>100*E210/[8]Cartera_Bruta!F211</f>
        <v>6.7807712662871662</v>
      </c>
      <c r="K210" s="84">
        <f>+F210*100/[8]Cartera_Bruta!G211</f>
        <v>3.4815649732363418</v>
      </c>
      <c r="L210" s="62">
        <f>6164213668.47971/(10^9)</f>
        <v>6.16421366847971</v>
      </c>
      <c r="M210" s="62">
        <f>9861909992.61339/(10^9)</f>
        <v>9.8619099926133895</v>
      </c>
      <c r="N210" s="62">
        <f>270207581.323279/(10^9)</f>
        <v>0.27020758132327904</v>
      </c>
      <c r="O210" s="62">
        <f>812860232.290956/(10^9)</f>
        <v>0.81286023229095605</v>
      </c>
      <c r="P210" s="84">
        <f t="shared" si="4"/>
        <v>17.109191474707334</v>
      </c>
      <c r="Q210" s="83">
        <f>100*(B210+L210)/([8]Cartera_Bruta!B211+'G2.4B'!L210)</f>
        <v>4.7662504918748319</v>
      </c>
      <c r="R210" s="82">
        <f>100*(C210+M210)/([8]Cartera_Bruta!C211+'G2.4B'!M210)</f>
        <v>12.617984338233065</v>
      </c>
      <c r="S210" s="82">
        <f>100*(D210+N210)/([8]Cartera_Bruta!D211+'G2.4B'!N210)</f>
        <v>5.8285884280479863</v>
      </c>
      <c r="T210" s="82">
        <f>100*(E210+O210)/([8]Cartera_Bruta!F211+'G2.4B'!O210)</f>
        <v>12.938720017588054</v>
      </c>
      <c r="U210" s="84">
        <f>100*(F210+P210)/([8]Cartera_Bruta!G211+'G2.4B'!P210)</f>
        <v>7.2788089182508804</v>
      </c>
      <c r="V210" s="48" t="str">
        <f t="shared" si="5"/>
        <v>F</v>
      </c>
    </row>
    <row r="211" spans="1:22" x14ac:dyDescent="0.3">
      <c r="A211" s="43">
        <f t="shared" si="6"/>
        <v>42430</v>
      </c>
      <c r="B211" s="83">
        <f>[8]Cartera_Vencida!B211</f>
        <v>6.0078262224146792</v>
      </c>
      <c r="C211" s="82">
        <f>[8]Cartera_Vencida!C211</f>
        <v>5.3823942599841992</v>
      </c>
      <c r="D211" s="82">
        <f>[8]Cartera_Vencida!D211</f>
        <v>2.6615189940487198</v>
      </c>
      <c r="E211" s="82">
        <f>[8]Cartera_Vencida!E211</f>
        <v>0.79418415667001496</v>
      </c>
      <c r="F211" s="84">
        <f>[8]Cartera_Vencida!F211</f>
        <v>14.845923633117613</v>
      </c>
      <c r="G211" s="82">
        <f>100*B211/[8]Cartera_Bruta!B212</f>
        <v>2.4548488680015845</v>
      </c>
      <c r="H211" s="82">
        <f>100*C211/[8]Cartera_Bruta!C212</f>
        <v>4.8982470035692449</v>
      </c>
      <c r="I211" s="82">
        <f>100*D211/[8]Cartera_Bruta!D212</f>
        <v>5.4591382839585396</v>
      </c>
      <c r="J211" s="82">
        <f>100*E211/[8]Cartera_Bruta!F212</f>
        <v>6.9436768128908843</v>
      </c>
      <c r="K211" s="84">
        <f>+F211*100/[8]Cartera_Bruta!G212</f>
        <v>3.5789858635939598</v>
      </c>
      <c r="L211" s="62">
        <f>6233218466.59503/(10^9)</f>
        <v>6.2332184665950301</v>
      </c>
      <c r="M211" s="62">
        <f>10002898031.9427/(10^9)</f>
        <v>10.002898031942699</v>
      </c>
      <c r="N211" s="62">
        <f>269191718.61843/(10^9)</f>
        <v>0.26919171861843</v>
      </c>
      <c r="O211" s="62">
        <f>825703237.132305/(10^9)</f>
        <v>0.82570323713230498</v>
      </c>
      <c r="P211" s="84">
        <f t="shared" si="4"/>
        <v>17.331011454288465</v>
      </c>
      <c r="Q211" s="83">
        <f>100*(B211+L211)/([8]Cartera_Bruta!B212+'G2.4B'!L211)</f>
        <v>4.8775659495367707</v>
      </c>
      <c r="R211" s="82">
        <f>100*(C211+M211)/([8]Cartera_Bruta!C212+'G2.4B'!M211)</f>
        <v>12.833162501950996</v>
      </c>
      <c r="S211" s="82">
        <f>100*(D211+N211)/([8]Cartera_Bruta!D212+'G2.4B'!N211)</f>
        <v>5.978278197933423</v>
      </c>
      <c r="T211" s="82">
        <f>100*(E211+O211)/([8]Cartera_Bruta!F212+'G2.4B'!O211)</f>
        <v>13.20931594763848</v>
      </c>
      <c r="U211" s="84">
        <f>100*(F211+P211)/([8]Cartera_Bruta!G212+'G2.4B'!P211)</f>
        <v>7.4459666941392326</v>
      </c>
      <c r="V211" s="48" t="str">
        <f t="shared" si="5"/>
        <v>F</v>
      </c>
    </row>
    <row r="212" spans="1:22" x14ac:dyDescent="0.3">
      <c r="A212" s="43">
        <f t="shared" si="6"/>
        <v>42461</v>
      </c>
      <c r="B212" s="83">
        <f>[8]Cartera_Vencida!B212</f>
        <v>6.1188840047397006</v>
      </c>
      <c r="C212" s="82">
        <f>[8]Cartera_Vencida!C212</f>
        <v>5.4622714752398798</v>
      </c>
      <c r="D212" s="82">
        <f>[8]Cartera_Vencida!D212</f>
        <v>2.7726586612196003</v>
      </c>
      <c r="E212" s="82">
        <f>[8]Cartera_Vencida!E212</f>
        <v>0.79603748979043809</v>
      </c>
      <c r="F212" s="84">
        <f>[8]Cartera_Vencida!F212</f>
        <v>15.149851630989618</v>
      </c>
      <c r="G212" s="82">
        <f>100*B212/[8]Cartera_Bruta!B213</f>
        <v>2.5002658937662927</v>
      </c>
      <c r="H212" s="82">
        <f>100*C212/[8]Cartera_Bruta!C213</f>
        <v>4.9252882880629718</v>
      </c>
      <c r="I212" s="82">
        <f>100*D212/[8]Cartera_Bruta!D213</f>
        <v>5.6150464803881146</v>
      </c>
      <c r="J212" s="82">
        <f>100*E212/[8]Cartera_Bruta!F213</f>
        <v>6.9043421531353735</v>
      </c>
      <c r="K212" s="84">
        <f>+F212*100/[8]Cartera_Bruta!G213</f>
        <v>3.6370655955265274</v>
      </c>
      <c r="L212" s="62">
        <f>6274577075.53496/(10^9)</f>
        <v>6.2745770755349595</v>
      </c>
      <c r="M212" s="62">
        <f>9990911371.30274/(10^9)</f>
        <v>9.9909113713027402</v>
      </c>
      <c r="N212" s="62">
        <f>269537450.425616/(10^9)</f>
        <v>0.269537450425616</v>
      </c>
      <c r="O212" s="62">
        <f>851055045.447797/(10^9)</f>
        <v>0.85105504544779698</v>
      </c>
      <c r="P212" s="84">
        <f t="shared" si="4"/>
        <v>17.386080942711114</v>
      </c>
      <c r="Q212" s="83">
        <f>100*(B212+L212)/([8]Cartera_Bruta!B213+'G2.4B'!L212)</f>
        <v>4.9375570110171108</v>
      </c>
      <c r="R212" s="82">
        <f>100*(C212+M212)/([8]Cartera_Bruta!C213+'G2.4B'!M212)</f>
        <v>12.782477759814196</v>
      </c>
      <c r="S212" s="82">
        <f>100*(D212+N212)/([8]Cartera_Bruta!D213+'G2.4B'!N212)</f>
        <v>6.1274530222371597</v>
      </c>
      <c r="T212" s="82">
        <f>100*(E212+O212)/([8]Cartera_Bruta!F213+'G2.4B'!O212)</f>
        <v>13.303845475711205</v>
      </c>
      <c r="U212" s="84">
        <f>100*(F212+P212)/([8]Cartera_Bruta!G213+'G2.4B'!P212)</f>
        <v>7.4980268895756748</v>
      </c>
      <c r="V212" s="48" t="str">
        <f t="shared" si="5"/>
        <v>F</v>
      </c>
    </row>
    <row r="213" spans="1:22" x14ac:dyDescent="0.3">
      <c r="A213" s="43">
        <f t="shared" si="6"/>
        <v>42491</v>
      </c>
      <c r="B213" s="83">
        <f>[8]Cartera_Vencida!B213</f>
        <v>6.0524270132488303</v>
      </c>
      <c r="C213" s="82">
        <f>[8]Cartera_Vencida!C213</f>
        <v>5.6133369316696502</v>
      </c>
      <c r="D213" s="82">
        <f>[8]Cartera_Vencida!D213</f>
        <v>2.8291747074427902</v>
      </c>
      <c r="E213" s="82">
        <f>[8]Cartera_Vencida!E213</f>
        <v>0.84887311481288008</v>
      </c>
      <c r="F213" s="84">
        <f>[8]Cartera_Vencida!F213</f>
        <v>15.343811767174152</v>
      </c>
      <c r="G213" s="82">
        <f>100*B213/[8]Cartera_Bruta!B214</f>
        <v>2.4477856783738181</v>
      </c>
      <c r="H213" s="82">
        <f>100*C213/[8]Cartera_Bruta!C214</f>
        <v>5.0269388358399301</v>
      </c>
      <c r="I213" s="82">
        <f>100*D213/[8]Cartera_Bruta!D214</f>
        <v>5.6791064816373709</v>
      </c>
      <c r="J213" s="82">
        <f>100*E213/[8]Cartera_Bruta!F214</f>
        <v>7.3543466623435894</v>
      </c>
      <c r="K213" s="84">
        <f>+F213*100/[8]Cartera_Bruta!G214</f>
        <v>3.6508012348034087</v>
      </c>
      <c r="L213" s="62">
        <f>6340419532.32981/(10^9)</f>
        <v>6.3404195323298103</v>
      </c>
      <c r="M213" s="62">
        <f>10064610614.2667/(10^9)</f>
        <v>10.064610614266702</v>
      </c>
      <c r="N213" s="62">
        <f>270564030.786072/(10^9)</f>
        <v>0.270564030786072</v>
      </c>
      <c r="O213" s="62">
        <f>857539991.267185/(10^9)</f>
        <v>0.85753999126718494</v>
      </c>
      <c r="P213" s="84">
        <f t="shared" si="4"/>
        <v>17.53313416864977</v>
      </c>
      <c r="Q213" s="83">
        <f>100*(B213+L213)/([8]Cartera_Bruta!B214+'G2.4B'!L213)</f>
        <v>4.8867357533005</v>
      </c>
      <c r="R213" s="82">
        <f>100*(C213+M213)/([8]Cartera_Bruta!C214+'G2.4B'!M213)</f>
        <v>12.879309243430299</v>
      </c>
      <c r="S213" s="82">
        <f>100*(D213+N213)/([8]Cartera_Bruta!D214+'G2.4B'!N213)</f>
        <v>6.1886084698749348</v>
      </c>
      <c r="T213" s="82">
        <f>100*(E213+O213)/([8]Cartera_Bruta!F214+'G2.4B'!O213)</f>
        <v>13.761387077185585</v>
      </c>
      <c r="U213" s="84">
        <f>100*(F213+P213)/([8]Cartera_Bruta!G214+'G2.4B'!P213)</f>
        <v>7.509250393650456</v>
      </c>
      <c r="V213" s="48" t="str">
        <f t="shared" si="5"/>
        <v>F</v>
      </c>
    </row>
    <row r="214" spans="1:22" x14ac:dyDescent="0.3">
      <c r="A214" s="43">
        <f t="shared" si="6"/>
        <v>42522</v>
      </c>
      <c r="B214" s="83">
        <f>[8]Cartera_Vencida!B214</f>
        <v>5.5347784886106597</v>
      </c>
      <c r="C214" s="82">
        <f>[8]Cartera_Vencida!C214</f>
        <v>5.52046843220415</v>
      </c>
      <c r="D214" s="82">
        <f>[8]Cartera_Vencida!D214</f>
        <v>2.8200937551374503</v>
      </c>
      <c r="E214" s="82">
        <f>[8]Cartera_Vencida!E214</f>
        <v>0.816289647128428</v>
      </c>
      <c r="F214" s="84">
        <f>[8]Cartera_Vencida!F214</f>
        <v>14.691630323080688</v>
      </c>
      <c r="G214" s="82">
        <f>100*B214/[8]Cartera_Bruta!B215</f>
        <v>2.2533045887145411</v>
      </c>
      <c r="H214" s="82">
        <f>100*C214/[8]Cartera_Bruta!C215</f>
        <v>4.8928113560857884</v>
      </c>
      <c r="I214" s="82">
        <f>100*D214/[8]Cartera_Bruta!D215</f>
        <v>5.6135894171932907</v>
      </c>
      <c r="J214" s="82">
        <f>100*E214/[8]Cartera_Bruta!F215</f>
        <v>7.0869687765515881</v>
      </c>
      <c r="K214" s="84">
        <f>+F214*100/[8]Cartera_Bruta!G215</f>
        <v>3.4962371983866993</v>
      </c>
      <c r="L214" s="62">
        <f>6619964043.51514/(10^9)</f>
        <v>6.6199640435151395</v>
      </c>
      <c r="M214" s="62">
        <f>10096113107.0428/(10^9)</f>
        <v>10.0961131070428</v>
      </c>
      <c r="N214" s="62">
        <f>270364195.151764/(10^9)</f>
        <v>0.27036419515176396</v>
      </c>
      <c r="O214" s="62">
        <f>865655367.696311/(10^9)</f>
        <v>0.86565536769631102</v>
      </c>
      <c r="P214" s="84">
        <f t="shared" ref="P214:P222" si="7">+SUM(L214:O214)</f>
        <v>17.852096713406013</v>
      </c>
      <c r="Q214" s="83">
        <f>100*(B214+L214)/([8]Cartera_Bruta!B215+'G2.4B'!L214)</f>
        <v>4.8185424336625591</v>
      </c>
      <c r="R214" s="82">
        <f>100*(C214+M214)/([8]Cartera_Bruta!C215+'G2.4B'!M214)</f>
        <v>12.704230567820929</v>
      </c>
      <c r="S214" s="82">
        <f>100*(D214+N214)/([8]Cartera_Bruta!D215+'G2.4B'!N214)</f>
        <v>6.1188375682865361</v>
      </c>
      <c r="T214" s="82">
        <f>100*(E214+O214)/([8]Cartera_Bruta!F215+'G2.4B'!O214)</f>
        <v>13.581780576201272</v>
      </c>
      <c r="U214" s="84">
        <f>100*(F214+P214)/([8]Cartera_Bruta!G215+'G2.4B'!P214)</f>
        <v>7.4289768076426048</v>
      </c>
      <c r="V214" s="48" t="str">
        <f t="shared" si="5"/>
        <v>F</v>
      </c>
    </row>
    <row r="215" spans="1:22" x14ac:dyDescent="0.3">
      <c r="A215" s="43">
        <f t="shared" si="6"/>
        <v>42552</v>
      </c>
      <c r="B215" s="83">
        <f>[8]Cartera_Vencida!B215</f>
        <v>6.1922837156545203</v>
      </c>
      <c r="C215" s="82">
        <f>[8]Cartera_Vencida!C215</f>
        <v>5.7284514189281905</v>
      </c>
      <c r="D215" s="82">
        <f>[8]Cartera_Vencida!D215</f>
        <v>2.9447408609966104</v>
      </c>
      <c r="E215" s="82">
        <f>[8]Cartera_Vencida!E215</f>
        <v>0.82814082671001799</v>
      </c>
      <c r="F215" s="84">
        <f>[8]Cartera_Vencida!F215</f>
        <v>15.693616822289338</v>
      </c>
      <c r="G215" s="82">
        <f>100*B215/[8]Cartera_Bruta!B216</f>
        <v>2.5024431030361378</v>
      </c>
      <c r="H215" s="82">
        <f>100*C215/[8]Cartera_Bruta!C216</f>
        <v>5.0459713074375285</v>
      </c>
      <c r="I215" s="82">
        <f>100*D215/[8]Cartera_Bruta!D216</f>
        <v>5.8069512015499143</v>
      </c>
      <c r="J215" s="82">
        <f>100*E215/[8]Cartera_Bruta!F216</f>
        <v>7.162408528995214</v>
      </c>
      <c r="K215" s="84">
        <f>+F215*100/[8]Cartera_Bruta!G216</f>
        <v>3.7079034532853905</v>
      </c>
      <c r="L215" s="62">
        <f>6663184772.91667/(10^9)</f>
        <v>6.6631847729166696</v>
      </c>
      <c r="M215" s="62">
        <f>10147630043.1611/(10^9)</f>
        <v>10.147630043161101</v>
      </c>
      <c r="N215" s="62">
        <f>272733840.543818/(10^9)</f>
        <v>0.272733840543818</v>
      </c>
      <c r="O215" s="62">
        <f>891703552.492049/(10^9)</f>
        <v>0.89170355249204902</v>
      </c>
      <c r="P215" s="84">
        <f t="shared" si="7"/>
        <v>17.975252209113638</v>
      </c>
      <c r="Q215" s="83">
        <f>100*(B215+L215)/([8]Cartera_Bruta!B216+'G2.4B'!L215)</f>
        <v>5.0589630913617789</v>
      </c>
      <c r="R215" s="82">
        <f>100*(C215+M215)/([8]Cartera_Bruta!C216+'G2.4B'!M215)</f>
        <v>12.837156997457155</v>
      </c>
      <c r="S215" s="82">
        <f>100*(D215+N215)/([8]Cartera_Bruta!D216+'G2.4B'!N215)</f>
        <v>6.3108339564629041</v>
      </c>
      <c r="T215" s="82">
        <f>100*(E215+O215)/([8]Cartera_Bruta!F216+'G2.4B'!O215)</f>
        <v>13.809544545553917</v>
      </c>
      <c r="U215" s="84">
        <f>100*(F215+P215)/([8]Cartera_Bruta!G216+'G2.4B'!P215)</f>
        <v>7.6308060004491356</v>
      </c>
      <c r="V215" s="48" t="str">
        <f t="shared" si="5"/>
        <v>F</v>
      </c>
    </row>
    <row r="216" spans="1:22" x14ac:dyDescent="0.3">
      <c r="A216" s="43">
        <f t="shared" si="6"/>
        <v>42583</v>
      </c>
      <c r="B216" s="83">
        <f>[8]Cartera_Vencida!B216</f>
        <v>6.1938338226221905</v>
      </c>
      <c r="C216" s="82">
        <f>[8]Cartera_Vencida!C216</f>
        <v>5.7080534697804</v>
      </c>
      <c r="D216" s="82">
        <f>[8]Cartera_Vencida!D216</f>
        <v>2.9112777855354302</v>
      </c>
      <c r="E216" s="82">
        <f>[8]Cartera_Vencida!E216</f>
        <v>0.83123236260395805</v>
      </c>
      <c r="F216" s="84">
        <f>[8]Cartera_Vencida!F216</f>
        <v>15.644397440541979</v>
      </c>
      <c r="G216" s="82">
        <f>100*B216/[8]Cartera_Bruta!B217</f>
        <v>2.5128563571430624</v>
      </c>
      <c r="H216" s="82">
        <f>100*C216/[8]Cartera_Bruta!C217</f>
        <v>4.9779678789487587</v>
      </c>
      <c r="I216" s="82">
        <f>100*D216/[8]Cartera_Bruta!D217</f>
        <v>5.6780902110631963</v>
      </c>
      <c r="J216" s="82">
        <f>100*E216/[8]Cartera_Bruta!F217</f>
        <v>7.1114496745504887</v>
      </c>
      <c r="K216" s="84">
        <f>+F216*100/[8]Cartera_Bruta!G217</f>
        <v>3.6887341169021566</v>
      </c>
      <c r="L216" s="62">
        <f>6649076280.30614/(10^9)</f>
        <v>6.6490762803061401</v>
      </c>
      <c r="M216" s="62">
        <f>10222236017.8735/(10^9)</f>
        <v>10.222236017873501</v>
      </c>
      <c r="N216" s="62">
        <f>272171276.274115/(10^9)</f>
        <v>0.27217127627411503</v>
      </c>
      <c r="O216" s="62">
        <f>902552960.002104/(10^9)</f>
        <v>0.90255296000210405</v>
      </c>
      <c r="P216" s="84">
        <f t="shared" si="7"/>
        <v>18.046036534455858</v>
      </c>
      <c r="Q216" s="83">
        <f>100*(B216+L216)/([8]Cartera_Bruta!B217+'G2.4B'!L216)</f>
        <v>5.0735445234154009</v>
      </c>
      <c r="R216" s="82">
        <f>100*(C216+M216)/([8]Cartera_Bruta!C217+'G2.4B'!M216)</f>
        <v>12.755602041848022</v>
      </c>
      <c r="S216" s="82">
        <f>100*(D216+N216)/([8]Cartera_Bruta!D217+'G2.4B'!N216)</f>
        <v>6.1761416738077433</v>
      </c>
      <c r="T216" s="82">
        <f>100*(E216+O216)/([8]Cartera_Bruta!F217+'G2.4B'!O216)</f>
        <v>13.769816286158587</v>
      </c>
      <c r="U216" s="84">
        <f>100*(F216+P216)/([8]Cartera_Bruta!G217+'G2.4B'!P216)</f>
        <v>7.6195301665838917</v>
      </c>
      <c r="V216" s="48" t="str">
        <f t="shared" si="5"/>
        <v>F</v>
      </c>
    </row>
    <row r="217" spans="1:22" x14ac:dyDescent="0.3">
      <c r="A217" s="43">
        <f t="shared" si="6"/>
        <v>42614</v>
      </c>
      <c r="B217" s="83">
        <f>[8]Cartera_Vencida!B217</f>
        <v>6.1363741351069701</v>
      </c>
      <c r="C217" s="82">
        <f>[8]Cartera_Vencida!C217</f>
        <v>5.7548705642826992</v>
      </c>
      <c r="D217" s="82">
        <f>[8]Cartera_Vencida!D217</f>
        <v>2.9768808417955199</v>
      </c>
      <c r="E217" s="82">
        <f>[8]Cartera_Vencida!E217</f>
        <v>0.817386826442418</v>
      </c>
      <c r="F217" s="84">
        <f>[8]Cartera_Vencida!F217</f>
        <v>15.685512367627608</v>
      </c>
      <c r="G217" s="82">
        <f>100*B217/[8]Cartera_Bruta!B218</f>
        <v>2.4987878340734762</v>
      </c>
      <c r="H217" s="82">
        <f>100*C217/[8]Cartera_Bruta!C218</f>
        <v>4.9767017303382595</v>
      </c>
      <c r="I217" s="82">
        <f>100*D217/[8]Cartera_Bruta!D218</f>
        <v>5.7994063336989727</v>
      </c>
      <c r="J217" s="82">
        <f>100*E217/[8]Cartera_Bruta!F218</f>
        <v>6.9441034714683481</v>
      </c>
      <c r="K217" s="84">
        <f>+F217*100/[8]Cartera_Bruta!G218</f>
        <v>3.6966930324491649</v>
      </c>
      <c r="L217" s="62">
        <f>6587220575.02297/(10^9)</f>
        <v>6.58722057502297</v>
      </c>
      <c r="M217" s="62">
        <f>10411145805.6754/(10^9)</f>
        <v>10.4111458056754</v>
      </c>
      <c r="N217" s="62">
        <f>271669989.903927/(10^9)</f>
        <v>0.27166998990392704</v>
      </c>
      <c r="O217" s="62">
        <f>907612030.047566/(10^9)</f>
        <v>0.90761203004756608</v>
      </c>
      <c r="P217" s="84">
        <f t="shared" si="7"/>
        <v>18.177648400649865</v>
      </c>
      <c r="Q217" s="83">
        <f>100*(B217+L217)/([8]Cartera_Bruta!B218+'G2.4B'!L217)</f>
        <v>5.0458166663501425</v>
      </c>
      <c r="R217" s="82">
        <f>100*(C217+M217)/([8]Cartera_Bruta!C218+'G2.4B'!M217)</f>
        <v>12.825348787060131</v>
      </c>
      <c r="S217" s="82">
        <f>100*(D217+N217)/([8]Cartera_Bruta!D218+'G2.4B'!N217)</f>
        <v>6.2953415357607794</v>
      </c>
      <c r="T217" s="82">
        <f>100*(E217+O217)/([8]Cartera_Bruta!F218+'G2.4B'!O217)</f>
        <v>13.605636741276022</v>
      </c>
      <c r="U217" s="84">
        <f>100*(F217+P217)/([8]Cartera_Bruta!G218+'G2.4B'!P217)</f>
        <v>7.6528706194870333</v>
      </c>
      <c r="V217" s="48" t="str">
        <f t="shared" si="5"/>
        <v>F</v>
      </c>
    </row>
    <row r="218" spans="1:22" x14ac:dyDescent="0.3">
      <c r="A218" s="43">
        <f t="shared" si="6"/>
        <v>42644</v>
      </c>
      <c r="B218" s="83">
        <f>[8]Cartera_Vencida!B218</f>
        <v>6.5404106131189899</v>
      </c>
      <c r="C218" s="82">
        <f>[8]Cartera_Vencida!C218</f>
        <v>6.0031467095764901</v>
      </c>
      <c r="D218" s="82">
        <f>[8]Cartera_Vencida!D218</f>
        <v>3.08279631093537</v>
      </c>
      <c r="E218" s="82">
        <f>[8]Cartera_Vencida!E218</f>
        <v>0.84496066363948297</v>
      </c>
      <c r="F218" s="84">
        <f>[8]Cartera_Vencida!F218</f>
        <v>16.471314297270332</v>
      </c>
      <c r="G218" s="82">
        <f>100*B218/[8]Cartera_Bruta!B219</f>
        <v>2.664516185396316</v>
      </c>
      <c r="H218" s="82">
        <f>100*C218/[8]Cartera_Bruta!C219</f>
        <v>5.1376111812642717</v>
      </c>
      <c r="I218" s="82">
        <f>100*D218/[8]Cartera_Bruta!D219</f>
        <v>5.9371973002897329</v>
      </c>
      <c r="J218" s="82">
        <f>100*E218/[8]Cartera_Bruta!F219</f>
        <v>7.149465681914239</v>
      </c>
      <c r="K218" s="84">
        <f>+F218*100/[8]Cartera_Bruta!G219</f>
        <v>3.8660307867427699</v>
      </c>
      <c r="L218" s="62">
        <f>6638210813.38665/(10^9)</f>
        <v>6.6382108133866504</v>
      </c>
      <c r="M218" s="62">
        <f>10705060766.5738/(10^9)</f>
        <v>10.7050607665738</v>
      </c>
      <c r="N218" s="62">
        <f>269562482.264255/(10^9)</f>
        <v>0.269562482264255</v>
      </c>
      <c r="O218" s="62">
        <f>923373466.602384/(10^9)</f>
        <v>0.92337346660238395</v>
      </c>
      <c r="P218" s="84">
        <f t="shared" si="7"/>
        <v>18.536207528827092</v>
      </c>
      <c r="Q218" s="83">
        <f>100*(B218+L218)/([8]Cartera_Bruta!B219+'G2.4B'!L218)</f>
        <v>5.2275049526673723</v>
      </c>
      <c r="R218" s="82">
        <f>100*(C218+M218)/([8]Cartera_Bruta!C219+'G2.4B'!M218)</f>
        <v>13.099123476601557</v>
      </c>
      <c r="S218" s="82">
        <f>100*(D218+N218)/([8]Cartera_Bruta!D219+'G2.4B'!N218)</f>
        <v>6.4230058886865722</v>
      </c>
      <c r="T218" s="82">
        <f>100*(E218+O218)/([8]Cartera_Bruta!F219+'G2.4B'!O218)</f>
        <v>13.878116694080688</v>
      </c>
      <c r="U218" s="84">
        <f>100*(F218+P218)/([8]Cartera_Bruta!G219+'G2.4B'!P218)</f>
        <v>7.8741395167552435</v>
      </c>
      <c r="V218" s="48" t="str">
        <f t="shared" si="5"/>
        <v>F</v>
      </c>
    </row>
    <row r="219" spans="1:22" x14ac:dyDescent="0.3">
      <c r="A219" s="43">
        <f t="shared" si="6"/>
        <v>42675</v>
      </c>
      <c r="B219" s="83">
        <f>[8]Cartera_Vencida!B219</f>
        <v>6.5228300125332694</v>
      </c>
      <c r="C219" s="82">
        <f>[8]Cartera_Vencida!C219</f>
        <v>6.2562323005660696</v>
      </c>
      <c r="D219" s="82">
        <f>[8]Cartera_Vencida!D219</f>
        <v>3.1698462547073003</v>
      </c>
      <c r="E219" s="82">
        <f>[8]Cartera_Vencida!E219</f>
        <v>0.87129042899551201</v>
      </c>
      <c r="F219" s="84">
        <f>[8]Cartera_Vencida!F219</f>
        <v>16.820198996802151</v>
      </c>
      <c r="G219" s="82">
        <f>100*B219/[8]Cartera_Bruta!B220</f>
        <v>2.6368791655240704</v>
      </c>
      <c r="H219" s="82">
        <f>100*C219/[8]Cartera_Bruta!C220</f>
        <v>5.2750173626456505</v>
      </c>
      <c r="I219" s="82">
        <f>100*D219/[8]Cartera_Bruta!D220</f>
        <v>6.0695080505281371</v>
      </c>
      <c r="J219" s="82">
        <f>100*E219/[8]Cartera_Bruta!F220</f>
        <v>7.3379330317688005</v>
      </c>
      <c r="K219" s="84">
        <f>+F219*100/[8]Cartera_Bruta!G220</f>
        <v>3.9110372680244732</v>
      </c>
      <c r="L219" s="62">
        <f>6649385314.44442/(10^9)</f>
        <v>6.6493853144444195</v>
      </c>
      <c r="M219" s="62">
        <f>10891343719.8838/(10^9)</f>
        <v>10.8913437198838</v>
      </c>
      <c r="N219" s="62">
        <f>272462559.538637/(10^9)</f>
        <v>0.27246255953863696</v>
      </c>
      <c r="O219" s="62">
        <f>941398456.405235/(10^9)</f>
        <v>0.94139845640523501</v>
      </c>
      <c r="P219" s="84">
        <f t="shared" si="7"/>
        <v>18.754590050272093</v>
      </c>
      <c r="Q219" s="83">
        <f>100*(B219+L219)/([8]Cartera_Bruta!B220+'G2.4B'!L219)</f>
        <v>5.1855297057520708</v>
      </c>
      <c r="R219" s="82">
        <f>100*(C219+M219)/([8]Cartera_Bruta!C220+'G2.4B'!M219)</f>
        <v>13.242136978455644</v>
      </c>
      <c r="S219" s="82">
        <f>100*(D219+N219)/([8]Cartera_Bruta!D220+'G2.4B'!N219)</f>
        <v>6.557001619747818</v>
      </c>
      <c r="T219" s="82">
        <f>100*(E219+O219)/([8]Cartera_Bruta!F220+'G2.4B'!O219)</f>
        <v>14.144852623858897</v>
      </c>
      <c r="U219" s="84">
        <f>100*(F219+P219)/([8]Cartera_Bruta!G220+'G2.4B'!P219)</f>
        <v>7.9262116586704074</v>
      </c>
      <c r="V219" s="48" t="str">
        <f t="shared" si="5"/>
        <v>F</v>
      </c>
    </row>
    <row r="220" spans="1:22" x14ac:dyDescent="0.3">
      <c r="A220" s="43">
        <f t="shared" si="6"/>
        <v>42705</v>
      </c>
      <c r="B220" s="83">
        <f>[8]Cartera_Vencida!B220</f>
        <v>5.6843326703113899</v>
      </c>
      <c r="C220" s="82">
        <f>[8]Cartera_Vencida!C220</f>
        <v>5.96291513224525</v>
      </c>
      <c r="D220" s="82">
        <f>[8]Cartera_Vencida!D220</f>
        <v>2.8980883794825401</v>
      </c>
      <c r="E220" s="82">
        <f>[8]Cartera_Vencida!E220</f>
        <v>0.85537177305006895</v>
      </c>
      <c r="F220" s="84">
        <f>[8]Cartera_Vencida!F220</f>
        <v>15.400707955089247</v>
      </c>
      <c r="G220" s="82">
        <f>100*B220/[8]Cartera_Bruta!B221</f>
        <v>2.3247436684866383</v>
      </c>
      <c r="H220" s="82">
        <f>100*C220/[8]Cartera_Bruta!C221</f>
        <v>4.9889406862696273</v>
      </c>
      <c r="I220" s="82">
        <f>100*D220/[8]Cartera_Bruta!D221</f>
        <v>5.4801390327427306</v>
      </c>
      <c r="J220" s="82">
        <f>100*E220/[8]Cartera_Bruta!F221</f>
        <v>7.2077100066898101</v>
      </c>
      <c r="K220" s="84">
        <f>+F220*100/[8]Cartera_Bruta!G221</f>
        <v>3.591683584233746</v>
      </c>
      <c r="L220" s="62">
        <f>6927857177.36339/(10^9)</f>
        <v>6.9278571773633901</v>
      </c>
      <c r="M220" s="62">
        <f>10611418294.382/(10^9)</f>
        <v>10.611418294382</v>
      </c>
      <c r="N220" s="62">
        <f>272761276.035545/(10^9)</f>
        <v>0.27276127603554501</v>
      </c>
      <c r="O220" s="62">
        <f>975839817.144838/(10^9)</f>
        <v>0.97583981714483803</v>
      </c>
      <c r="P220" s="84">
        <f t="shared" si="7"/>
        <v>18.787876564925774</v>
      </c>
      <c r="Q220" s="83">
        <f>100*(B220+L220)/([8]Cartera_Bruta!B221+'G2.4B'!L220)</f>
        <v>5.0159391547021981</v>
      </c>
      <c r="R220" s="82">
        <f>100*(C220+M220)/([8]Cartera_Bruta!C221+'G2.4B'!M220)</f>
        <v>12.736350324953897</v>
      </c>
      <c r="S220" s="82">
        <f>100*(D220+N220)/([8]Cartera_Bruta!D221+'G2.4B'!N220)</f>
        <v>5.9651499353299</v>
      </c>
      <c r="T220" s="82">
        <f>100*(E220+O220)/([8]Cartera_Bruta!F221+'G2.4B'!O220)</f>
        <v>14.25811331128215</v>
      </c>
      <c r="U220" s="84">
        <f>100*(F220+P220)/([8]Cartera_Bruta!G221+'G2.4B'!P220)</f>
        <v>7.6386120982451828</v>
      </c>
      <c r="V220" s="48" t="str">
        <f t="shared" si="5"/>
        <v>F</v>
      </c>
    </row>
    <row r="221" spans="1:22" s="88" customFormat="1" x14ac:dyDescent="0.3">
      <c r="A221" s="43">
        <f t="shared" si="6"/>
        <v>42736</v>
      </c>
      <c r="B221" s="83">
        <f>[8]Cartera_Vencida!B221</f>
        <v>7.5850692440620202</v>
      </c>
      <c r="C221" s="82">
        <f>[8]Cartera_Vencida!C221</f>
        <v>6.1586376877752897</v>
      </c>
      <c r="D221" s="82">
        <f>[8]Cartera_Vencida!D221</f>
        <v>3.2128859997461499</v>
      </c>
      <c r="E221" s="82">
        <f>[8]Cartera_Vencida!E221</f>
        <v>0.88557694007320298</v>
      </c>
      <c r="F221" s="84">
        <f>[8]Cartera_Vencida!F221</f>
        <v>17.842169871656662</v>
      </c>
      <c r="G221" s="82">
        <f>100*B221/[8]Cartera_Bruta!B222</f>
        <v>3.1588020697863999</v>
      </c>
      <c r="H221" s="82">
        <f>100*C221/[8]Cartera_Bruta!C222</f>
        <v>5.1717196449627938</v>
      </c>
      <c r="I221" s="82">
        <f>100*D221/[8]Cartera_Bruta!D222</f>
        <v>6.0973912299129038</v>
      </c>
      <c r="J221" s="82">
        <f>100*E221/[8]Cartera_Bruta!F222</f>
        <v>7.4952388170871158</v>
      </c>
      <c r="K221" s="84">
        <f>+F221*100/[8]Cartera_Bruta!G222</f>
        <v>4.2108810857246342</v>
      </c>
      <c r="L221" s="62">
        <f>7028168722.45954/(10^9)</f>
        <v>7.0281687224595402</v>
      </c>
      <c r="M221" s="62">
        <f>10888073767.4897/(10^9)</f>
        <v>10.888073767489701</v>
      </c>
      <c r="N221" s="62">
        <f>272679416.979828/(10^9)</f>
        <v>0.272679416979828</v>
      </c>
      <c r="O221" s="62">
        <f>984053051.384552/(10^9)</f>
        <v>0.98405305138455201</v>
      </c>
      <c r="P221" s="84">
        <f t="shared" si="7"/>
        <v>19.17297495831362</v>
      </c>
      <c r="Q221" s="83">
        <f>100*(B221+L221)/([8]Cartera_Bruta!B222+'G2.4B'!L221)</f>
        <v>5.9126273607105855</v>
      </c>
      <c r="R221" s="82">
        <f>100*(C221+M221)/([8]Cartera_Bruta!C222+'G2.4B'!M221)</f>
        <v>13.115775724245028</v>
      </c>
      <c r="S221" s="82">
        <f>100*(D221+N221)/([8]Cartera_Bruta!D222+'G2.4B'!N221)</f>
        <v>6.5808251610748316</v>
      </c>
      <c r="T221" s="82">
        <f>100*(E221+O221)/([8]Cartera_Bruta!F222+'G2.4B'!O221)</f>
        <v>14.607344591353925</v>
      </c>
      <c r="U221" s="84">
        <f>100*(F221+P221)/([8]Cartera_Bruta!G222+'G2.4B'!P221)</f>
        <v>8.3576609206652819</v>
      </c>
      <c r="V221" s="48" t="str">
        <f t="shared" si="5"/>
        <v>F</v>
      </c>
    </row>
    <row r="222" spans="1:22" x14ac:dyDescent="0.3">
      <c r="A222" s="43">
        <f t="shared" si="6"/>
        <v>42767</v>
      </c>
      <c r="B222" s="83">
        <f>[8]Cartera_Vencida!B222</f>
        <v>7.5053183303343696</v>
      </c>
      <c r="C222" s="82">
        <f>[8]Cartera_Vencida!C222</f>
        <v>6.3933491733844097</v>
      </c>
      <c r="D222" s="82">
        <f>[8]Cartera_Vencida!D222</f>
        <v>3.16829208664885</v>
      </c>
      <c r="E222" s="82">
        <f>[8]Cartera_Vencida!E222</f>
        <v>0.89641732833328902</v>
      </c>
      <c r="F222" s="84">
        <f>[8]Cartera_Vencida!F222</f>
        <v>17.96337691870092</v>
      </c>
      <c r="G222" s="82">
        <f>100*B222/[8]Cartera_Bruta!B223</f>
        <v>3.1289123770272882</v>
      </c>
      <c r="H222" s="82">
        <f>100*C222/[8]Cartera_Bruta!C223</f>
        <v>5.3950014254741241</v>
      </c>
      <c r="I222" s="82">
        <f>100*D222/[8]Cartera_Bruta!D223</f>
        <v>5.9982320857878308</v>
      </c>
      <c r="J222" s="82">
        <f>100*E222/[8]Cartera_Bruta!F223</f>
        <v>7.6245758709301139</v>
      </c>
      <c r="K222" s="84">
        <f>+F222*100/[8]Cartera_Bruta!G223</f>
        <v>4.2471400608845684</v>
      </c>
      <c r="L222" s="62">
        <f>7006677976.8922/(10^9)</f>
        <v>7.0066779768922007</v>
      </c>
      <c r="M222" s="62">
        <f>11124129877.4424/(10^9)</f>
        <v>11.1241298774424</v>
      </c>
      <c r="N222" s="62">
        <f>271413136.338706/(10^9)</f>
        <v>0.27141313633870601</v>
      </c>
      <c r="O222" s="62">
        <f>991933362.97874/(10^9)</f>
        <v>0.99193336297874002</v>
      </c>
      <c r="P222" s="84">
        <f t="shared" si="7"/>
        <v>19.394154353652045</v>
      </c>
      <c r="Q222" s="83">
        <f>100*(B222+L222)/([8]Cartera_Bruta!B223+'G2.4B'!L222)</f>
        <v>5.8782399145338244</v>
      </c>
      <c r="R222" s="82">
        <f>100*(C222+M222)/([8]Cartera_Bruta!C223+'G2.4B'!M222)</f>
        <v>13.513530653860503</v>
      </c>
      <c r="S222" s="82">
        <f>100*(D222+N222)/([8]Cartera_Bruta!D223+'G2.4B'!N222)</f>
        <v>6.4787826240678976</v>
      </c>
      <c r="T222" s="82">
        <f>100*(E222+O222)/([8]Cartera_Bruta!F223+'G2.4B'!O222)</f>
        <v>14.811894599495496</v>
      </c>
      <c r="U222" s="84">
        <f>100*(F222+P222)/([8]Cartera_Bruta!G223+'G2.4B'!P222)</f>
        <v>8.4453102799259803</v>
      </c>
      <c r="V222" s="48" t="str">
        <f t="shared" si="5"/>
        <v>F</v>
      </c>
    </row>
    <row r="223" spans="1:22" x14ac:dyDescent="0.3">
      <c r="A223" s="43">
        <f t="shared" si="6"/>
        <v>42795</v>
      </c>
      <c r="B223" s="83">
        <f>[8]Cartera_Vencida!B223</f>
        <v>8.0354935066244693</v>
      </c>
      <c r="C223" s="82">
        <f>[8]Cartera_Vencida!C223</f>
        <v>6.5110982604910701</v>
      </c>
      <c r="D223" s="82">
        <f>[8]Cartera_Vencida!D223</f>
        <v>3.2929214726320599</v>
      </c>
      <c r="E223" s="82">
        <f>[8]Cartera_Vencida!E223</f>
        <v>0.88759189850820508</v>
      </c>
      <c r="F223" s="84">
        <f>[8]Cartera_Vencida!F223</f>
        <v>18.727105138255805</v>
      </c>
      <c r="G223" s="82">
        <f>100*B223/[8]Cartera_Bruta!B224</f>
        <v>3.3555141683817507</v>
      </c>
      <c r="H223" s="82">
        <f>100*C223/[8]Cartera_Bruta!C224</f>
        <v>5.4802977892011153</v>
      </c>
      <c r="I223" s="82">
        <f>100*D223/[8]Cartera_Bruta!D224</f>
        <v>6.2440866541843079</v>
      </c>
      <c r="J223" s="82">
        <f>100*E223/[8]Cartera_Bruta!F224</f>
        <v>7.5459971723659782</v>
      </c>
      <c r="K223" s="84">
        <f>+F223*100/[8]Cartera_Bruta!G224</f>
        <v>4.4295199052014045</v>
      </c>
      <c r="L223" s="62">
        <f>7041763968.06228/(10^9)</f>
        <v>7.0417639680622797</v>
      </c>
      <c r="M223" s="62">
        <f>11240634014.8933/(10^9)</f>
        <v>11.240634014893299</v>
      </c>
      <c r="N223" s="62">
        <f>271039952.720288/(10^9)</f>
        <v>0.27103995272028797</v>
      </c>
      <c r="O223" s="62">
        <f>1003439522.92215/(10^9)</f>
        <v>1.00343952292215</v>
      </c>
      <c r="P223" s="84">
        <f>+SUM(L223:O223)</f>
        <v>19.556877458598017</v>
      </c>
      <c r="Q223" s="83">
        <f>100*(B223+L223)/([8]Cartera_Bruta!B224+'G2.4B'!L223)</f>
        <v>6.1162102482254266</v>
      </c>
      <c r="R223" s="82">
        <f>100*(C223+M223)/([8]Cartera_Bruta!C224+'G2.4B'!M223)</f>
        <v>13.649945548810921</v>
      </c>
      <c r="S223" s="82">
        <f>100*(D223+N223)/([8]Cartera_Bruta!D224+'G2.4B'!N223)</f>
        <v>6.7234813108470837</v>
      </c>
      <c r="T223" s="82">
        <f>100*(E223+O223)/([8]Cartera_Bruta!F224+'G2.4B'!O223)</f>
        <v>14.813192820143835</v>
      </c>
      <c r="U223" s="84">
        <f>100*(F223+P223)/([8]Cartera_Bruta!G224+'G2.4B'!P223)</f>
        <v>8.6549464674735308</v>
      </c>
      <c r="V223" s="48" t="str">
        <f t="shared" si="5"/>
        <v>F</v>
      </c>
    </row>
    <row r="224" spans="1:22" x14ac:dyDescent="0.3">
      <c r="A224" s="43">
        <f t="shared" si="6"/>
        <v>42826</v>
      </c>
      <c r="B224" s="83">
        <f>[8]Cartera_Vencida!B224</f>
        <v>8.5482551627816807</v>
      </c>
      <c r="C224" s="82">
        <f>[8]Cartera_Vencida!C224</f>
        <v>6.8794881174199203</v>
      </c>
      <c r="D224" s="82">
        <f>[8]Cartera_Vencida!D224</f>
        <v>3.5692976047534399</v>
      </c>
      <c r="E224" s="82">
        <f>[8]Cartera_Vencida!E224</f>
        <v>0.92147583263113997</v>
      </c>
      <c r="F224" s="84">
        <f>[8]Cartera_Vencida!F224</f>
        <v>19.918516717586179</v>
      </c>
      <c r="G224" s="82">
        <f>100*B224/[8]Cartera_Bruta!B225</f>
        <v>3.5600252690255156</v>
      </c>
      <c r="H224" s="82">
        <f>100*C224/[8]Cartera_Bruta!C225</f>
        <v>5.7891093629010584</v>
      </c>
      <c r="I224" s="82">
        <f>100*D224/[8]Cartera_Bruta!D225</f>
        <v>6.7466511845886163</v>
      </c>
      <c r="J224" s="82">
        <f>100*E224/[8]Cartera_Bruta!F225</f>
        <v>7.8492350631431211</v>
      </c>
      <c r="K224" s="84">
        <f>+F224*100/[8]Cartera_Bruta!G225</f>
        <v>4.7022300233597356</v>
      </c>
      <c r="L224" s="62">
        <f>7134882255.19836/(10^9)</f>
        <v>7.1348822551983604</v>
      </c>
      <c r="M224" s="62">
        <f>11346053962.4979/(10^9)</f>
        <v>11.3460539624979</v>
      </c>
      <c r="N224" s="62">
        <f>270661781.46148/(10^9)</f>
        <v>0.27066178146148001</v>
      </c>
      <c r="O224" s="62">
        <f>993509286.052359/(10^9)</f>
        <v>0.993509286052359</v>
      </c>
      <c r="P224" s="84">
        <f t="shared" ref="P224:P233" si="8">+SUM(L224:O224)</f>
        <v>19.7451072852101</v>
      </c>
      <c r="Q224" s="83">
        <f>100*(B224+L224)/([8]Cartera_Bruta!B225+'G2.4B'!L224)</f>
        <v>6.342958885807799</v>
      </c>
      <c r="R224" s="82">
        <f>100*(C224+M224)/([8]Cartera_Bruta!C225+'G2.4B'!M224)</f>
        <v>14.000149415458131</v>
      </c>
      <c r="S224" s="82">
        <f>100*(D224+N224)/([8]Cartera_Bruta!D225+'G2.4B'!N224)</f>
        <v>7.2213090402451554</v>
      </c>
      <c r="T224" s="82">
        <f>100*(E224+O224)/([8]Cartera_Bruta!F225+'G2.4B'!O224)</f>
        <v>15.039308938416507</v>
      </c>
      <c r="U224" s="84">
        <f>100*(F224+P224)/([8]Cartera_Bruta!G225+'G2.4B'!P224)</f>
        <v>8.946500152086502</v>
      </c>
      <c r="V224" s="48" t="str">
        <f t="shared" si="5"/>
        <v>F</v>
      </c>
    </row>
    <row r="225" spans="1:22" x14ac:dyDescent="0.3">
      <c r="A225" s="43">
        <f t="shared" si="6"/>
        <v>42856</v>
      </c>
      <c r="B225" s="83">
        <f>[8]Cartera_Vencida!B225</f>
        <v>8.6686348122957302</v>
      </c>
      <c r="C225" s="82">
        <f>[8]Cartera_Vencida!C225</f>
        <v>7.0650622111329895</v>
      </c>
      <c r="D225" s="82">
        <f>[8]Cartera_Vencida!D225</f>
        <v>3.5868259162242997</v>
      </c>
      <c r="E225" s="82">
        <f>[8]Cartera_Vencida!E225</f>
        <v>0.92522845951923705</v>
      </c>
      <c r="F225" s="84">
        <f>[8]Cartera_Vencida!F225</f>
        <v>20.245751399172256</v>
      </c>
      <c r="G225" s="82">
        <f>100*B225/[8]Cartera_Bruta!B226</f>
        <v>3.6037411678491247</v>
      </c>
      <c r="H225" s="82">
        <f>100*C225/[8]Cartera_Bruta!C226</f>
        <v>5.8979663218772176</v>
      </c>
      <c r="I225" s="82">
        <f>100*D225/[8]Cartera_Bruta!D226</f>
        <v>6.7268265253993453</v>
      </c>
      <c r="J225" s="82">
        <f>100*E225/[8]Cartera_Bruta!F226</f>
        <v>7.8700595773569058</v>
      </c>
      <c r="K225" s="84">
        <f>+F225*100/[8]Cartera_Bruta!G226</f>
        <v>4.7591031188117947</v>
      </c>
      <c r="L225" s="62">
        <f>7188529874.19164/(10^9)</f>
        <v>7.1885298741916399</v>
      </c>
      <c r="M225" s="62">
        <f>11626071908.8025/(10^9)</f>
        <v>11.6260719088025</v>
      </c>
      <c r="N225" s="62">
        <f>261248388.345226/(10^9)</f>
        <v>0.26124838834522601</v>
      </c>
      <c r="O225" s="62">
        <f>1022145949.90898/(10^9)</f>
        <v>1.02214594990898</v>
      </c>
      <c r="P225" s="84">
        <f t="shared" si="8"/>
        <v>20.097996121248343</v>
      </c>
      <c r="Q225" s="83">
        <f>100*(B225+L225)/([8]Cartera_Bruta!B226+'G2.4B'!L225)</f>
        <v>6.4008844303314252</v>
      </c>
      <c r="R225" s="82">
        <f>100*(C225+M225)/([8]Cartera_Bruta!C226+'G2.4B'!M225)</f>
        <v>14.223072630918283</v>
      </c>
      <c r="S225" s="82">
        <f>100*(D225+N225)/([8]Cartera_Bruta!D226+'G2.4B'!N225)</f>
        <v>7.1815921856384968</v>
      </c>
      <c r="T225" s="82">
        <f>100*(E225+O225)/([8]Cartera_Bruta!F226+'G2.4B'!O225)</f>
        <v>15.239514783438741</v>
      </c>
      <c r="U225" s="84">
        <f>100*(F225+P225)/([8]Cartera_Bruta!G226+'G2.4B'!P225)</f>
        <v>9.0556513392174196</v>
      </c>
      <c r="V225" s="48" t="str">
        <f t="shared" si="5"/>
        <v>F</v>
      </c>
    </row>
    <row r="226" spans="1:22" x14ac:dyDescent="0.3">
      <c r="A226" s="43">
        <f t="shared" si="6"/>
        <v>42887</v>
      </c>
      <c r="B226" s="83">
        <f>[8]Cartera_Vencida!B226</f>
        <v>8.7130747893002489</v>
      </c>
      <c r="C226" s="82">
        <f>[8]Cartera_Vencida!C226</f>
        <v>7.1435020567007399</v>
      </c>
      <c r="D226" s="82">
        <f>[8]Cartera_Vencida!D226</f>
        <v>3.71330120294768</v>
      </c>
      <c r="E226" s="82">
        <f>[8]Cartera_Vencida!E226</f>
        <v>0.92100826145460402</v>
      </c>
      <c r="F226" s="84">
        <f>[8]Cartera_Vencida!F226</f>
        <v>20.490886310403273</v>
      </c>
      <c r="G226" s="82">
        <f>100*B226/[8]Cartera_Bruta!B227</f>
        <v>3.5901875601860591</v>
      </c>
      <c r="H226" s="82">
        <f>100*C226/[8]Cartera_Bruta!C227</f>
        <v>5.9271891064075666</v>
      </c>
      <c r="I226" s="82">
        <f>100*D226/[8]Cartera_Bruta!D227</f>
        <v>6.9662425604048961</v>
      </c>
      <c r="J226" s="82">
        <f>100*E226/[8]Cartera_Bruta!F227</f>
        <v>7.7413352123337082</v>
      </c>
      <c r="K226" s="84">
        <f>+F226*100/[8]Cartera_Bruta!G227</f>
        <v>4.7829664407757511</v>
      </c>
      <c r="L226" s="62">
        <f>7148732039.69363/(10^9)</f>
        <v>7.1487320396936305</v>
      </c>
      <c r="M226" s="62">
        <f>11626744680.7274/(10^9)</f>
        <v>11.6267446807274</v>
      </c>
      <c r="N226" s="62">
        <f>240799395.155544/(10^9)</f>
        <v>0.24079939515554402</v>
      </c>
      <c r="O226" s="62">
        <f>1034939950.47049/(10^9)</f>
        <v>1.0349399504704899</v>
      </c>
      <c r="P226" s="84">
        <f t="shared" si="8"/>
        <v>20.051216066047068</v>
      </c>
      <c r="Q226" s="83">
        <f>100*(B226+L226)/([8]Cartera_Bruta!B227+'G2.4B'!L226)</f>
        <v>6.3487837764688955</v>
      </c>
      <c r="R226" s="82">
        <f>100*(C226+M226)/([8]Cartera_Bruta!C227+'G2.4B'!M226)</f>
        <v>14.203995706408792</v>
      </c>
      <c r="S226" s="82">
        <f>100*(D226+N226)/([8]Cartera_Bruta!D227+'G2.4B'!N226)</f>
        <v>7.384628306026114</v>
      </c>
      <c r="T226" s="82">
        <f>100*(E226+O226)/([8]Cartera_Bruta!F227+'G2.4B'!O226)</f>
        <v>15.124613913340717</v>
      </c>
      <c r="U226" s="84">
        <f>100*(F226+P226)/([8]Cartera_Bruta!G227+'G2.4B'!P226)</f>
        <v>9.0401936940159189</v>
      </c>
      <c r="V226" s="48" t="str">
        <f t="shared" si="5"/>
        <v>F</v>
      </c>
    </row>
    <row r="227" spans="1:22" s="60" customFormat="1" x14ac:dyDescent="0.3">
      <c r="A227" s="43">
        <f t="shared" si="6"/>
        <v>42917</v>
      </c>
      <c r="B227" s="83">
        <f>[8]Cartera_Vencida!B227</f>
        <v>9.0949816224384801</v>
      </c>
      <c r="C227" s="82">
        <f>[8]Cartera_Vencida!C227</f>
        <v>7.2800127179196794</v>
      </c>
      <c r="D227" s="82">
        <f>[8]Cartera_Vencida!D227</f>
        <v>3.8386752226200098</v>
      </c>
      <c r="E227" s="82">
        <f>[8]Cartera_Vencida!E227</f>
        <v>0.92704964576426896</v>
      </c>
      <c r="F227" s="84">
        <f>[8]Cartera_Vencida!F227</f>
        <v>21.140719208742439</v>
      </c>
      <c r="G227" s="82">
        <f>100*B227/[8]Cartera_Bruta!B228</f>
        <v>3.7625095280892702</v>
      </c>
      <c r="H227" s="82">
        <f>100*C227/[8]Cartera_Bruta!C228</f>
        <v>5.9959858908283961</v>
      </c>
      <c r="I227" s="82">
        <f>100*D227/[8]Cartera_Bruta!D228</f>
        <v>7.1300755666980109</v>
      </c>
      <c r="J227" s="82">
        <f>100*E227/[8]Cartera_Bruta!F228</f>
        <v>7.7158471339898851</v>
      </c>
      <c r="K227" s="84">
        <f>+F227*100/[8]Cartera_Bruta!G228</f>
        <v>4.9279764393745644</v>
      </c>
      <c r="L227" s="62">
        <f>7166278774.5137/(10^9)</f>
        <v>7.1662787745136995</v>
      </c>
      <c r="M227" s="62">
        <f>11046266076.7185/(10^9)</f>
        <v>11.046266076718499</v>
      </c>
      <c r="N227" s="62">
        <f>232211468.264172/(10^9)</f>
        <v>0.23221146826417199</v>
      </c>
      <c r="O227" s="62">
        <f>918608001.933948/(10^9)</f>
        <v>0.91860800193394809</v>
      </c>
      <c r="P227" s="84">
        <f t="shared" si="8"/>
        <v>19.363364321430318</v>
      </c>
      <c r="Q227" s="83">
        <f>100*(B227+L227)/([8]Cartera_Bruta!B228+'G2.4B'!L227)</f>
        <v>6.533440690733662</v>
      </c>
      <c r="R227" s="82">
        <f>100*(C227+M227)/([8]Cartera_Bruta!C228+'G2.4B'!M227)</f>
        <v>13.835221877452557</v>
      </c>
      <c r="S227" s="82">
        <f>100*(D227+N227)/([8]Cartera_Bruta!D228+'G2.4B'!N227)</f>
        <v>7.5289189234044827</v>
      </c>
      <c r="T227" s="82">
        <f>100*(E227+O227)/([8]Cartera_Bruta!F228+'G2.4B'!O227)</f>
        <v>14.270379999870366</v>
      </c>
      <c r="U227" s="84">
        <f>100*(F227+P227)/([8]Cartera_Bruta!G228+'G2.4B'!P227)</f>
        <v>9.0338855018282445</v>
      </c>
      <c r="V227" s="48" t="str">
        <f t="shared" si="5"/>
        <v>F</v>
      </c>
    </row>
    <row r="228" spans="1:22" x14ac:dyDescent="0.3">
      <c r="A228" s="43">
        <f t="shared" si="6"/>
        <v>42948</v>
      </c>
      <c r="B228" s="83">
        <f>[8]Cartera_Vencida!B228</f>
        <v>9.2386092104997601</v>
      </c>
      <c r="C228" s="82">
        <f>[8]Cartera_Vencida!C228</f>
        <v>7.22131366907848</v>
      </c>
      <c r="D228" s="82">
        <f>[8]Cartera_Vencida!D228</f>
        <v>3.8842881485415202</v>
      </c>
      <c r="E228" s="82">
        <f>[8]Cartera_Vencida!E228</f>
        <v>0.93321072745637601</v>
      </c>
      <c r="F228" s="84">
        <f>[8]Cartera_Vencida!F228</f>
        <v>21.277421755576135</v>
      </c>
      <c r="G228" s="82">
        <f>100*B228/[8]Cartera_Bruta!B229</f>
        <v>3.841952760293688</v>
      </c>
      <c r="H228" s="82">
        <f>100*C228/[8]Cartera_Bruta!C229</f>
        <v>5.9182695121000641</v>
      </c>
      <c r="I228" s="82">
        <f>100*D228/[8]Cartera_Bruta!D229</f>
        <v>7.1490323302157082</v>
      </c>
      <c r="J228" s="82">
        <f>100*E228/[8]Cartera_Bruta!F229</f>
        <v>7.7185195957209132</v>
      </c>
      <c r="K228" s="84">
        <f>+F228*100/[8]Cartera_Bruta!G229</f>
        <v>4.960842589913903</v>
      </c>
      <c r="L228" s="62">
        <f>7226213465.08124/(10^9)</f>
        <v>7.2262134650812397</v>
      </c>
      <c r="M228" s="62">
        <f>11494713163.527/(10^9)</f>
        <v>11.494713163527001</v>
      </c>
      <c r="N228" s="62">
        <f>232298681.454132/(10^9)</f>
        <v>0.23229868145413199</v>
      </c>
      <c r="O228" s="62">
        <f>935102755.676309/(10^9)</f>
        <v>0.93510275567630896</v>
      </c>
      <c r="P228" s="84">
        <f t="shared" si="8"/>
        <v>19.88832806573868</v>
      </c>
      <c r="Q228" s="83">
        <f>100*(B228+L228)/([8]Cartera_Bruta!B229+'G2.4B'!L228)</f>
        <v>6.6472778546849813</v>
      </c>
      <c r="R228" s="82">
        <f>100*(C228+M228)/([8]Cartera_Bruta!C229+'G2.4B'!M228)</f>
        <v>14.018232525864647</v>
      </c>
      <c r="S228" s="82">
        <f>100*(D228+N228)/([8]Cartera_Bruta!D229+'G2.4B'!N228)</f>
        <v>7.5443226243094381</v>
      </c>
      <c r="T228" s="82">
        <f>100*(E228+O228)/([8]Cartera_Bruta!F229+'G2.4B'!O228)</f>
        <v>14.343349234544952</v>
      </c>
      <c r="U228" s="84">
        <f>100*(F228+P228)/([8]Cartera_Bruta!G229+'G2.4B'!P228)</f>
        <v>9.1724911346932423</v>
      </c>
      <c r="V228" s="48" t="str">
        <f t="shared" si="5"/>
        <v>F</v>
      </c>
    </row>
    <row r="229" spans="1:22" x14ac:dyDescent="0.3">
      <c r="A229" s="43">
        <f t="shared" si="6"/>
        <v>42979</v>
      </c>
      <c r="B229" s="83">
        <f>[8]Cartera_Vencida!B229</f>
        <v>9.3544901455448404</v>
      </c>
      <c r="C229" s="82">
        <f>[8]Cartera_Vencida!C229</f>
        <v>7.3591727799036395</v>
      </c>
      <c r="D229" s="82">
        <f>[8]Cartera_Vencida!D229</f>
        <v>3.9392914535852799</v>
      </c>
      <c r="E229" s="82">
        <f>[8]Cartera_Vencida!E229</f>
        <v>0.93163972109068893</v>
      </c>
      <c r="F229" s="84">
        <f>[8]Cartera_Vencida!F229</f>
        <v>21.584594100124452</v>
      </c>
      <c r="G229" s="82">
        <f>100*B229/[8]Cartera_Bruta!B230</f>
        <v>3.8752132633376735</v>
      </c>
      <c r="H229" s="82">
        <f>100*C229/[8]Cartera_Bruta!C230</f>
        <v>5.9932339562099433</v>
      </c>
      <c r="I229" s="82">
        <f>100*D229/[8]Cartera_Bruta!D230</f>
        <v>7.1799178246406665</v>
      </c>
      <c r="J229" s="82">
        <f>100*E229/[8]Cartera_Bruta!F230</f>
        <v>7.6612324973280188</v>
      </c>
      <c r="K229" s="84">
        <f>+F229*100/[8]Cartera_Bruta!G230</f>
        <v>5.0055862374185187</v>
      </c>
      <c r="L229" s="62">
        <f>7349115994.26802/(10^9)</f>
        <v>7.3491159942680193</v>
      </c>
      <c r="M229" s="62">
        <f>11927061589.849/(10^9)</f>
        <v>11.927061589849002</v>
      </c>
      <c r="N229" s="62">
        <f>233850735.023485/(10^9)</f>
        <v>0.233850735023485</v>
      </c>
      <c r="O229" s="62">
        <f>967823594.205894/(10^9)</f>
        <v>0.96782359420589403</v>
      </c>
      <c r="P229" s="84">
        <f t="shared" si="8"/>
        <v>20.477851913346399</v>
      </c>
      <c r="Q229" s="83">
        <f>100*(B229+L229)/([8]Cartera_Bruta!B230+'G2.4B'!L229)</f>
        <v>6.7152327531324536</v>
      </c>
      <c r="R229" s="82">
        <f>100*(C229+M229)/([8]Cartera_Bruta!C230+'G2.4B'!M229)</f>
        <v>14.315960520601854</v>
      </c>
      <c r="S229" s="82">
        <f>100*(D229+N229)/([8]Cartera_Bruta!D230+'G2.4B'!N229)</f>
        <v>7.5738622005823988</v>
      </c>
      <c r="T229" s="82">
        <f>100*(E229+O229)/([8]Cartera_Bruta!F230+'G2.4B'!O229)</f>
        <v>14.468501773182133</v>
      </c>
      <c r="U229" s="84">
        <f>100*(F229+P229)/([8]Cartera_Bruta!G230+'G2.4B'!P229)</f>
        <v>9.3122795438597734</v>
      </c>
      <c r="V229" s="48" t="str">
        <f t="shared" si="5"/>
        <v>T</v>
      </c>
    </row>
    <row r="230" spans="1:22" x14ac:dyDescent="0.3">
      <c r="A230" s="43">
        <f t="shared" si="6"/>
        <v>43009</v>
      </c>
      <c r="B230" s="83">
        <f>[8]Cartera_Vencida!B230</f>
        <v>9.2761720376889407</v>
      </c>
      <c r="C230" s="82">
        <f>[8]Cartera_Vencida!C230</f>
        <v>7.4771427404896098</v>
      </c>
      <c r="D230" s="82">
        <f>[8]Cartera_Vencida!D230</f>
        <v>3.9473460355402299</v>
      </c>
      <c r="E230" s="82">
        <f>[8]Cartera_Vencida!E230</f>
        <v>0.91544727927606795</v>
      </c>
      <c r="F230" s="84">
        <f>[8]Cartera_Vencida!F230</f>
        <v>21.616108092994846</v>
      </c>
      <c r="G230" s="82">
        <f>100*B230/[8]Cartera_Bruta!B231</f>
        <v>3.8445916353215224</v>
      </c>
      <c r="H230" s="82">
        <f>100*C230/[8]Cartera_Bruta!C231</f>
        <v>6.0458712564424424</v>
      </c>
      <c r="I230" s="82">
        <f>100*D230/[8]Cartera_Bruta!D231</f>
        <v>7.1384160924976907</v>
      </c>
      <c r="J230" s="82">
        <f>100*E230/[8]Cartera_Bruta!F231</f>
        <v>7.5234894497661635</v>
      </c>
      <c r="K230" s="84">
        <f>+F230*100/[8]Cartera_Bruta!G231</f>
        <v>4.9989023533249579</v>
      </c>
      <c r="L230" s="62">
        <f>7371061150.67554/(10^9)</f>
        <v>7.3710611506755397</v>
      </c>
      <c r="M230" s="62">
        <f>12290987328.0009/(10^9)</f>
        <v>12.290987328000901</v>
      </c>
      <c r="N230" s="62">
        <f>247271165.624508/(10^9)</f>
        <v>0.24727116562450799</v>
      </c>
      <c r="O230" s="62">
        <f>1016022406.99635/(10^9)</f>
        <v>1.0160224069963502</v>
      </c>
      <c r="P230" s="84">
        <f t="shared" si="8"/>
        <v>20.925342051297296</v>
      </c>
      <c r="Q230" s="83">
        <f>100*(B230+L230)/([8]Cartera_Bruta!B231+'G2.4B'!L230)</f>
        <v>6.6950590370319816</v>
      </c>
      <c r="R230" s="82">
        <f>100*(C230+M230)/([8]Cartera_Bruta!C231+'G2.4B'!M230)</f>
        <v>14.539182459665605</v>
      </c>
      <c r="S230" s="82">
        <f>100*(D230+N230)/([8]Cartera_Bruta!D231+'G2.4B'!N230)</f>
        <v>7.5518142421036041</v>
      </c>
      <c r="T230" s="82">
        <f>100*(E230+O230)/([8]Cartera_Bruta!F231+'G2.4B'!O230)</f>
        <v>14.650240153581638</v>
      </c>
      <c r="U230" s="84">
        <f>100*(F230+P230)/([8]Cartera_Bruta!G231+'G2.4B'!P230)</f>
        <v>9.3839550696320959</v>
      </c>
      <c r="V230" s="48" t="str">
        <f t="shared" si="5"/>
        <v>F</v>
      </c>
    </row>
    <row r="231" spans="1:22" x14ac:dyDescent="0.3">
      <c r="A231" s="43">
        <f t="shared" si="6"/>
        <v>43040</v>
      </c>
      <c r="B231" s="83">
        <f>[8]Cartera_Vencida!B231</f>
        <v>9.3721725874613</v>
      </c>
      <c r="C231" s="82">
        <f>[8]Cartera_Vencida!C231</f>
        <v>7.6749849081175299</v>
      </c>
      <c r="D231" s="82">
        <f>[8]Cartera_Vencida!D231</f>
        <v>4.1700625476043101</v>
      </c>
      <c r="E231" s="82">
        <f>[8]Cartera_Vencida!E231</f>
        <v>0.93470849833696401</v>
      </c>
      <c r="F231" s="84">
        <f>[8]Cartera_Vencida!F231</f>
        <v>22.151928541520103</v>
      </c>
      <c r="G231" s="82">
        <f>100*B231/[8]Cartera_Bruta!B232</f>
        <v>3.8822625760731544</v>
      </c>
      <c r="H231" s="82">
        <f>100*C231/[8]Cartera_Bruta!C232</f>
        <v>6.1364592441095915</v>
      </c>
      <c r="I231" s="82">
        <f>100*D231/[8]Cartera_Bruta!D232</f>
        <v>7.5114555171761852</v>
      </c>
      <c r="J231" s="82">
        <f>100*E231/[8]Cartera_Bruta!F232</f>
        <v>7.6543485823002344</v>
      </c>
      <c r="K231" s="84">
        <f>+F231*100/[8]Cartera_Bruta!G232</f>
        <v>5.101668883449233</v>
      </c>
      <c r="L231" s="62">
        <f>7410364755.12929/(10^9)</f>
        <v>7.4103647551292893</v>
      </c>
      <c r="M231" s="62">
        <f>12351336967.7356/(10^9)</f>
        <v>12.3513369677356</v>
      </c>
      <c r="N231" s="62">
        <f>244791205.459518/(10^9)</f>
        <v>0.24479120545951799</v>
      </c>
      <c r="O231" s="62">
        <f>1037047451.1599/(10^9)</f>
        <v>1.0370474511598999</v>
      </c>
      <c r="P231" s="84">
        <f t="shared" si="8"/>
        <v>21.043540379484305</v>
      </c>
      <c r="Q231" s="83">
        <f>100*(B231+L231)/([8]Cartera_Bruta!B232+'G2.4B'!L231)</f>
        <v>6.7448389971154894</v>
      </c>
      <c r="R231" s="82">
        <f>100*(C231+M231)/([8]Cartera_Bruta!C232+'G2.4B'!M231)</f>
        <v>14.572735523370293</v>
      </c>
      <c r="S231" s="82">
        <f>100*(D231+N231)/([8]Cartera_Bruta!D232+'G2.4B'!N231)</f>
        <v>7.9174821555256507</v>
      </c>
      <c r="T231" s="82">
        <f>100*(E231+O231)/([8]Cartera_Bruta!F232+'G2.4B'!O231)</f>
        <v>14.882841968636631</v>
      </c>
      <c r="U231" s="84">
        <f>100*(F231+P231)/([8]Cartera_Bruta!G232+'G2.4B'!P231)</f>
        <v>9.4882339204705755</v>
      </c>
      <c r="V231" s="48" t="str">
        <f t="shared" si="5"/>
        <v>T</v>
      </c>
    </row>
    <row r="232" spans="1:22" x14ac:dyDescent="0.3">
      <c r="A232" s="43">
        <f t="shared" si="6"/>
        <v>43070</v>
      </c>
      <c r="B232" s="83">
        <f>[8]Cartera_Vencida!B232</f>
        <v>8.9136032945098904</v>
      </c>
      <c r="C232" s="82">
        <f>[8]Cartera_Vencida!C232</f>
        <v>7.2575225150280103</v>
      </c>
      <c r="D232" s="82">
        <f>[8]Cartera_Vencida!D232</f>
        <v>3.8395254291920899</v>
      </c>
      <c r="E232" s="82">
        <f>[8]Cartera_Vencida!E232</f>
        <v>0.94095622482770391</v>
      </c>
      <c r="F232" s="84">
        <f>[8]Cartera_Vencida!F232</f>
        <v>20.951607463557696</v>
      </c>
      <c r="G232" s="82">
        <f>100*B232/[8]Cartera_Bruta!B233</f>
        <v>3.7047888300406346</v>
      </c>
      <c r="H232" s="82">
        <f>100*C232/[8]Cartera_Bruta!C233</f>
        <v>5.8129812300958514</v>
      </c>
      <c r="I232" s="82">
        <f>100*D232/[8]Cartera_Bruta!D233</f>
        <v>6.8448977119792271</v>
      </c>
      <c r="J232" s="82">
        <f>100*E232/[8]Cartera_Bruta!F233</f>
        <v>7.7277888954760332</v>
      </c>
      <c r="K232" s="84">
        <f>+F232*100/[8]Cartera_Bruta!G233</f>
        <v>4.8307139955800453</v>
      </c>
      <c r="L232" s="62">
        <f>7548900771.05904/(10^9)</f>
        <v>7.5489007710590403</v>
      </c>
      <c r="M232" s="62">
        <f>12224240145.9418/(10^9)</f>
        <v>12.224240145941799</v>
      </c>
      <c r="N232" s="62">
        <f>241394728.89452/(10^9)</f>
        <v>0.24139472889452002</v>
      </c>
      <c r="O232" s="62">
        <f>969668090.66182/(10^9)</f>
        <v>0.96966809066182003</v>
      </c>
      <c r="P232" s="84">
        <f t="shared" si="8"/>
        <v>20.984203736557177</v>
      </c>
      <c r="Q232" s="83">
        <f>100*(B232+L232)/([8]Cartera_Bruta!B233+'G2.4B'!L232)</f>
        <v>6.6342089155212483</v>
      </c>
      <c r="R232" s="82">
        <f>100*(C232+M232)/([8]Cartera_Bruta!C233+'G2.4B'!M232)</f>
        <v>14.212535387644531</v>
      </c>
      <c r="S232" s="82">
        <f>100*(D232+N232)/([8]Cartera_Bruta!D233+'G2.4B'!N232)</f>
        <v>7.244068625075486</v>
      </c>
      <c r="T232" s="82">
        <f>100*(E232+O232)/([8]Cartera_Bruta!F233+'G2.4B'!O232)</f>
        <v>14.53395496593402</v>
      </c>
      <c r="U232" s="84">
        <f>100*(F232+P232)/([8]Cartera_Bruta!G233+'G2.4B'!P232)</f>
        <v>9.222726863293552</v>
      </c>
      <c r="V232" s="48" t="str">
        <f t="shared" si="5"/>
        <v>F</v>
      </c>
    </row>
    <row r="233" spans="1:22" x14ac:dyDescent="0.3">
      <c r="A233" s="43">
        <f t="shared" si="6"/>
        <v>43101</v>
      </c>
      <c r="B233" s="83">
        <f>[8]Cartera_Vencida!B233</f>
        <v>9.6011255747752209</v>
      </c>
      <c r="C233" s="82">
        <f>[8]Cartera_Vencida!C233</f>
        <v>7.4465879526607797</v>
      </c>
      <c r="D233" s="82">
        <f>[8]Cartera_Vencida!D233</f>
        <v>3.9829137668808898</v>
      </c>
      <c r="E233" s="82">
        <f>[8]Cartera_Vencida!E233</f>
        <v>0.97061476344826991</v>
      </c>
      <c r="F233" s="84">
        <f>[8]Cartera_Vencida!F233</f>
        <v>22.001242057765165</v>
      </c>
      <c r="G233" s="82">
        <f>100*B233/[8]Cartera_Bruta!B234</f>
        <v>4.0441291234479868</v>
      </c>
      <c r="H233" s="82">
        <f>100*C233/[8]Cartera_Bruta!C234</f>
        <v>5.9834084232625377</v>
      </c>
      <c r="I233" s="82">
        <f>100*D233/[8]Cartera_Bruta!D234</f>
        <v>7.1065278297095134</v>
      </c>
      <c r="J233" s="82">
        <f>100*E233/[8]Cartera_Bruta!F234</f>
        <v>7.9886578768900067</v>
      </c>
      <c r="K233" s="84">
        <f>+F233*100/[8]Cartera_Bruta!G234</f>
        <v>5.1158697595616074</v>
      </c>
      <c r="L233" s="62">
        <f>7548900771.05904/(10^9)</f>
        <v>7.5489007710590403</v>
      </c>
      <c r="M233" s="62">
        <f>12224240145.9418/(10^9)</f>
        <v>12.224240145941799</v>
      </c>
      <c r="N233" s="62">
        <f>241394728.89452/(10^9)</f>
        <v>0.24139472889452002</v>
      </c>
      <c r="O233" s="62">
        <f>969668090.66182/(10^9)</f>
        <v>0.96966809066182003</v>
      </c>
      <c r="P233" s="84">
        <f t="shared" si="8"/>
        <v>20.984203736557177</v>
      </c>
      <c r="Q233" s="83">
        <f>100*(B233+L233)/([8]Cartera_Bruta!B234+'G2.4B'!L233)</f>
        <v>7.0012144585272784</v>
      </c>
      <c r="R233" s="82">
        <f>100*(C233+M233)/([8]Cartera_Bruta!C234+'G2.4B'!M233)</f>
        <v>14.392075647082468</v>
      </c>
      <c r="S233" s="82">
        <f>100*(D233+N233)/([8]Cartera_Bruta!D234+'G2.4B'!N233)</f>
        <v>7.5049128553021296</v>
      </c>
      <c r="T233" s="82">
        <f>100*(E233+O233)/([8]Cartera_Bruta!F234+'G2.4B'!O233)</f>
        <v>14.789216554512191</v>
      </c>
      <c r="U233" s="84">
        <f>100*(F233+P233)/([8]Cartera_Bruta!G234+'G2.4B'!P233)</f>
        <v>9.5302347424887746</v>
      </c>
      <c r="V233" s="48" t="str">
        <f t="shared" si="5"/>
        <v>T</v>
      </c>
    </row>
    <row r="234" spans="1:22" x14ac:dyDescent="0.3">
      <c r="B234" s="89"/>
      <c r="G234" s="170">
        <f>+G233-G221</f>
        <v>0.88532705366158693</v>
      </c>
      <c r="H234" s="170">
        <f t="shared" ref="H234:K234" si="9">+H233-H221</f>
        <v>0.81168877829974395</v>
      </c>
      <c r="I234" s="170">
        <f t="shared" si="9"/>
        <v>1.0091365997966095</v>
      </c>
      <c r="J234" s="170">
        <f t="shared" si="9"/>
        <v>0.49341905980289091</v>
      </c>
      <c r="K234" s="170">
        <f t="shared" si="9"/>
        <v>0.90498867383697323</v>
      </c>
    </row>
    <row r="235" spans="1:22" x14ac:dyDescent="0.3">
      <c r="B235" s="89"/>
    </row>
    <row r="236" spans="1:22" x14ac:dyDescent="0.3">
      <c r="B236" s="89"/>
    </row>
    <row r="237" spans="1:22" x14ac:dyDescent="0.3">
      <c r="B237" s="89"/>
    </row>
    <row r="238" spans="1:22" x14ac:dyDescent="0.3">
      <c r="B238" s="89"/>
    </row>
    <row r="239" spans="1:22" x14ac:dyDescent="0.3">
      <c r="B239" s="89"/>
    </row>
    <row r="240" spans="1:22" x14ac:dyDescent="0.3">
      <c r="B240" s="89"/>
    </row>
    <row r="241" spans="2:2" x14ac:dyDescent="0.3">
      <c r="B241" s="89"/>
    </row>
    <row r="242" spans="2:2" x14ac:dyDescent="0.3">
      <c r="B242" s="89"/>
    </row>
    <row r="243" spans="2:2" x14ac:dyDescent="0.3">
      <c r="B243" s="89"/>
    </row>
    <row r="244" spans="2:2" x14ac:dyDescent="0.3">
      <c r="B244" s="89"/>
    </row>
    <row r="245" spans="2:2" x14ac:dyDescent="0.3">
      <c r="B245" s="89"/>
    </row>
    <row r="246" spans="2:2" x14ac:dyDescent="0.3">
      <c r="B246" s="89"/>
    </row>
    <row r="247" spans="2:2" x14ac:dyDescent="0.3">
      <c r="B247" s="89"/>
    </row>
    <row r="248" spans="2:2" x14ac:dyDescent="0.3">
      <c r="B248" s="89"/>
    </row>
    <row r="249" spans="2:2" x14ac:dyDescent="0.3">
      <c r="B249" s="89"/>
    </row>
    <row r="250" spans="2:2" x14ac:dyDescent="0.3">
      <c r="B250" s="89"/>
    </row>
    <row r="251" spans="2:2" x14ac:dyDescent="0.3">
      <c r="B251" s="89"/>
    </row>
    <row r="252" spans="2:2" x14ac:dyDescent="0.3">
      <c r="B252" s="89"/>
    </row>
    <row r="268" spans="22:26" x14ac:dyDescent="0.3">
      <c r="V268" s="50"/>
      <c r="W268" s="50"/>
      <c r="X268" s="50"/>
      <c r="Y268" s="50"/>
      <c r="Z268" s="50"/>
    </row>
  </sheetData>
  <mergeCells count="5">
    <mergeCell ref="A2:A3"/>
    <mergeCell ref="B2:F2"/>
    <mergeCell ref="G2:K2"/>
    <mergeCell ref="L2:P2"/>
    <mergeCell ref="Q2:U2"/>
  </mergeCells>
  <pageMargins left="0.7" right="0.7" top="0.75" bottom="0.75" header="0.3" footer="0.3"/>
  <pageSetup scale="76" orientation="portrait" r:id="rId1"/>
  <colBreaks count="1" manualBreakCount="1">
    <brk id="34" min="3" max="2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32"/>
  <sheetViews>
    <sheetView showGridLines="0" view="pageBreakPreview" zoomScale="78" zoomScaleNormal="100" zoomScaleSheetLayoutView="78" workbookViewId="0">
      <pane xSplit="1" ySplit="2" topLeftCell="D3" activePane="bottomRight" state="frozen"/>
      <selection activeCell="E27" sqref="E27"/>
      <selection pane="topRight" activeCell="E27" sqref="E27"/>
      <selection pane="bottomLeft" activeCell="E27" sqref="E27"/>
      <selection pane="bottomRight" activeCell="E27" sqref="E27"/>
    </sheetView>
  </sheetViews>
  <sheetFormatPr baseColWidth="10" defaultRowHeight="16.5" x14ac:dyDescent="0.3"/>
  <cols>
    <col min="1" max="1" width="13.85546875" style="38" bestFit="1" customWidth="1"/>
    <col min="2" max="2" width="15.85546875" style="38" customWidth="1"/>
    <col min="3" max="3" width="20" style="38" customWidth="1"/>
    <col min="4" max="4" width="17.5703125" style="38" customWidth="1"/>
    <col min="5" max="5" width="15.140625" style="38" bestFit="1" customWidth="1"/>
    <col min="6" max="6" width="14.28515625" style="38" customWidth="1"/>
    <col min="7" max="8" width="20.7109375" style="38" bestFit="1" customWidth="1"/>
    <col min="9" max="9" width="14.42578125" style="38" customWidth="1"/>
    <col min="10" max="10" width="15" style="38" customWidth="1"/>
    <col min="11" max="11" width="17.7109375" style="48" bestFit="1" customWidth="1"/>
    <col min="12" max="12" width="19.140625" style="48" bestFit="1" customWidth="1"/>
    <col min="13" max="19" width="11.42578125" style="48"/>
    <col min="20" max="16384" width="11.42578125" style="109"/>
  </cols>
  <sheetData>
    <row r="1" spans="1:19" s="67" customFormat="1" ht="26.25" customHeight="1" thickBot="1" x14ac:dyDescent="0.3">
      <c r="A1" s="91">
        <f>10^9</f>
        <v>1000000000</v>
      </c>
      <c r="B1" s="92" t="s">
        <v>42</v>
      </c>
      <c r="C1" s="92"/>
      <c r="D1" s="92" t="s">
        <v>43</v>
      </c>
      <c r="E1" s="93" t="s">
        <v>44</v>
      </c>
      <c r="F1" s="94"/>
      <c r="G1" s="94"/>
      <c r="H1" s="94"/>
      <c r="I1" s="94"/>
      <c r="J1" s="94"/>
    </row>
    <row r="2" spans="1:19" s="96" customFormat="1" ht="35.25" customHeight="1" thickBot="1" x14ac:dyDescent="0.35">
      <c r="A2" s="19" t="s">
        <v>7</v>
      </c>
      <c r="B2" s="19" t="s">
        <v>45</v>
      </c>
      <c r="C2" s="75" t="s">
        <v>46</v>
      </c>
      <c r="D2" s="19" t="s">
        <v>47</v>
      </c>
      <c r="E2" s="29" t="s">
        <v>48</v>
      </c>
      <c r="F2" s="28" t="s">
        <v>49</v>
      </c>
      <c r="G2" s="75" t="s">
        <v>50</v>
      </c>
      <c r="H2" s="19" t="s">
        <v>51</v>
      </c>
      <c r="I2" s="29" t="s">
        <v>94</v>
      </c>
      <c r="J2" s="28" t="s">
        <v>53</v>
      </c>
      <c r="K2" s="95"/>
    </row>
    <row r="3" spans="1:19" x14ac:dyDescent="0.3">
      <c r="A3" s="97">
        <v>36130</v>
      </c>
      <c r="B3" s="91">
        <f>-1684796190/(10^9)</f>
        <v>-1.6847961899999999</v>
      </c>
      <c r="C3" s="91">
        <f>79612778699/(10^9)</f>
        <v>79.612778699000003</v>
      </c>
      <c r="D3" s="91">
        <f>8660349339/(10^9)</f>
        <v>8.6603493389999997</v>
      </c>
      <c r="E3" s="3">
        <f>+AVERAGE(C3:C3)</f>
        <v>79.612778699000003</v>
      </c>
      <c r="F3" s="3">
        <f>+AVERAGE(D3:D3)</f>
        <v>8.6603493389999997</v>
      </c>
      <c r="G3" s="98">
        <f t="shared" ref="G3:G66" si="0">+B3/E3*100</f>
        <v>-2.1162383948057855</v>
      </c>
      <c r="H3" s="99">
        <f t="shared" ref="H3:H66" si="1">B3/F3*100</f>
        <v>-19.454136594847125</v>
      </c>
      <c r="I3" s="100"/>
      <c r="J3" s="101"/>
      <c r="K3" s="48" t="b">
        <f t="shared" ref="K3:K66" si="2">+G3&lt;$G$231</f>
        <v>1</v>
      </c>
    </row>
    <row r="4" spans="1:19" x14ac:dyDescent="0.3">
      <c r="A4" s="97">
        <v>36161</v>
      </c>
      <c r="B4" s="91">
        <f>-1822629641/(10^9)</f>
        <v>-1.822629641</v>
      </c>
      <c r="C4" s="91">
        <f>80469936355/(10^9)</f>
        <v>80.469936355000002</v>
      </c>
      <c r="D4" s="91">
        <f>8595688444/(10^9)</f>
        <v>8.5956884440000003</v>
      </c>
      <c r="E4" s="3">
        <f>+AVERAGE(C3:C4)</f>
        <v>80.041357527000002</v>
      </c>
      <c r="F4" s="3">
        <f>+AVERAGE(D3:D4)</f>
        <v>8.6280188915</v>
      </c>
      <c r="G4" s="98">
        <f t="shared" si="0"/>
        <v>-2.2771098558456861</v>
      </c>
      <c r="H4" s="42">
        <f t="shared" si="1"/>
        <v>-21.124543929726279</v>
      </c>
      <c r="I4" s="3"/>
      <c r="J4" s="102"/>
      <c r="K4" s="48" t="b">
        <f t="shared" si="2"/>
        <v>1</v>
      </c>
      <c r="L4" s="125" t="s">
        <v>93</v>
      </c>
      <c r="M4" s="125"/>
      <c r="N4" s="125"/>
      <c r="O4" s="125"/>
      <c r="P4" s="125"/>
      <c r="Q4" s="125"/>
      <c r="R4" s="125"/>
      <c r="S4" s="125"/>
    </row>
    <row r="5" spans="1:19" x14ac:dyDescent="0.3">
      <c r="A5" s="97">
        <v>36192</v>
      </c>
      <c r="B5" s="91">
        <f>-2033846869/(10^9)</f>
        <v>-2.033846869</v>
      </c>
      <c r="C5" s="91">
        <f>79754016250/(10^9)</f>
        <v>79.754016250000006</v>
      </c>
      <c r="D5" s="91">
        <f>8625379160/(10^9)</f>
        <v>8.6253791599999996</v>
      </c>
      <c r="E5" s="3">
        <f>+AVERAGE(C3:C5)</f>
        <v>79.945577101333342</v>
      </c>
      <c r="F5" s="3">
        <f>+AVERAGE(D3:D5)</f>
        <v>8.6271389809999999</v>
      </c>
      <c r="G5" s="98">
        <f t="shared" si="0"/>
        <v>-2.5440392611364104</v>
      </c>
      <c r="H5" s="42">
        <f t="shared" si="1"/>
        <v>-23.57498671899511</v>
      </c>
      <c r="I5" s="3"/>
      <c r="J5" s="102"/>
      <c r="K5" s="48" t="b">
        <f t="shared" si="2"/>
        <v>1</v>
      </c>
      <c r="L5" s="149" t="s">
        <v>95</v>
      </c>
      <c r="M5" s="125"/>
      <c r="N5" s="125"/>
      <c r="O5" s="125"/>
      <c r="P5" s="125"/>
      <c r="Q5" s="125"/>
      <c r="R5" s="125"/>
      <c r="S5" s="125"/>
    </row>
    <row r="6" spans="1:19" x14ac:dyDescent="0.3">
      <c r="A6" s="97">
        <v>36220</v>
      </c>
      <c r="B6" s="91">
        <f>-2202233845/(10^9)</f>
        <v>-2.2022338449999999</v>
      </c>
      <c r="C6" s="91">
        <f>78721626524/(10^9)</f>
        <v>78.721626524000001</v>
      </c>
      <c r="D6" s="91">
        <f>8570775323/(10^9)</f>
        <v>8.5707753229999994</v>
      </c>
      <c r="E6" s="3">
        <f>+AVERAGE(C3:C6)</f>
        <v>79.639589457</v>
      </c>
      <c r="F6" s="3">
        <f>+AVERAGE(D3:D6)</f>
        <v>8.6130480664999993</v>
      </c>
      <c r="G6" s="98">
        <f t="shared" si="0"/>
        <v>-2.76525012247716</v>
      </c>
      <c r="H6" s="42">
        <f t="shared" si="1"/>
        <v>-25.568577209797233</v>
      </c>
      <c r="I6" s="3"/>
      <c r="J6" s="102"/>
      <c r="K6" s="48" t="b">
        <f t="shared" si="2"/>
        <v>1</v>
      </c>
      <c r="L6" s="125" t="s">
        <v>96</v>
      </c>
      <c r="M6" s="125"/>
      <c r="N6" s="125"/>
      <c r="O6" s="125"/>
      <c r="P6" s="125"/>
      <c r="Q6" s="125"/>
      <c r="R6" s="125"/>
      <c r="S6" s="125"/>
    </row>
    <row r="7" spans="1:19" x14ac:dyDescent="0.3">
      <c r="A7" s="97">
        <v>36251</v>
      </c>
      <c r="B7" s="91">
        <f>-2405657110/(10^9)</f>
        <v>-2.4056571099999999</v>
      </c>
      <c r="C7" s="91">
        <f>79178034273/(10^9)</f>
        <v>79.178034272999994</v>
      </c>
      <c r="D7" s="91">
        <f>8529356738/(10^9)</f>
        <v>8.5293567380000006</v>
      </c>
      <c r="E7" s="3">
        <f>+AVERAGE(C3:C7)</f>
        <v>79.547278420200001</v>
      </c>
      <c r="F7" s="3">
        <f>+AVERAGE(D3:D7)</f>
        <v>8.5963098008000003</v>
      </c>
      <c r="G7" s="98">
        <f t="shared" si="0"/>
        <v>-3.0241853119001423</v>
      </c>
      <c r="H7" s="42">
        <f t="shared" si="1"/>
        <v>-27.984765157906732</v>
      </c>
      <c r="I7" s="3"/>
      <c r="J7" s="102"/>
      <c r="K7" s="48" t="b">
        <f t="shared" si="2"/>
        <v>1</v>
      </c>
      <c r="L7" s="125"/>
      <c r="M7" s="125"/>
      <c r="N7" s="125"/>
      <c r="O7" s="125"/>
      <c r="P7" s="125"/>
      <c r="Q7" s="125"/>
      <c r="R7" s="125"/>
      <c r="S7" s="125"/>
    </row>
    <row r="8" spans="1:19" x14ac:dyDescent="0.3">
      <c r="A8" s="97">
        <v>36281</v>
      </c>
      <c r="B8" s="91">
        <f>-2551287143/(10^9)</f>
        <v>-2.5512871430000001</v>
      </c>
      <c r="C8" s="91">
        <f>78185665266/(10^9)</f>
        <v>78.185665266000001</v>
      </c>
      <c r="D8" s="91">
        <f>8375474594/(10^9)</f>
        <v>8.3754745939999999</v>
      </c>
      <c r="E8" s="3">
        <f>+AVERAGE(C3:C8)</f>
        <v>79.320342894500001</v>
      </c>
      <c r="F8" s="3">
        <f>+AVERAGE(D3:D8)</f>
        <v>8.5595039330000002</v>
      </c>
      <c r="G8" s="98">
        <f t="shared" si="0"/>
        <v>-3.2164348386558781</v>
      </c>
      <c r="H8" s="42">
        <f t="shared" si="1"/>
        <v>-29.806483681418271</v>
      </c>
      <c r="I8" s="3"/>
      <c r="J8" s="102"/>
      <c r="K8" s="48" t="b">
        <f t="shared" si="2"/>
        <v>1</v>
      </c>
      <c r="L8" s="125"/>
      <c r="M8" s="125"/>
      <c r="N8" s="125"/>
      <c r="O8" s="125"/>
      <c r="P8" s="125"/>
      <c r="Q8" s="125"/>
      <c r="R8" s="125"/>
      <c r="S8" s="125"/>
    </row>
    <row r="9" spans="1:19" x14ac:dyDescent="0.3">
      <c r="A9" s="97">
        <v>36312</v>
      </c>
      <c r="B9" s="91">
        <f>-2643953376/(10^9)</f>
        <v>-2.6439533759999998</v>
      </c>
      <c r="C9" s="91">
        <f>77877366948/(10^9)</f>
        <v>77.877366948000002</v>
      </c>
      <c r="D9" s="91">
        <f>8476621190/(10^9)</f>
        <v>8.4766211899999995</v>
      </c>
      <c r="E9" s="3">
        <f>+AVERAGE(C3:C9)</f>
        <v>79.114203473571436</v>
      </c>
      <c r="F9" s="3">
        <f>+AVERAGE(D3:D9)</f>
        <v>8.5476635411428568</v>
      </c>
      <c r="G9" s="98">
        <f t="shared" si="0"/>
        <v>-3.3419452638276614</v>
      </c>
      <c r="H9" s="42">
        <f t="shared" si="1"/>
        <v>-30.931884055493512</v>
      </c>
      <c r="I9" s="3"/>
      <c r="J9" s="102"/>
      <c r="K9" s="48" t="b">
        <f t="shared" si="2"/>
        <v>1</v>
      </c>
      <c r="L9" s="125"/>
      <c r="M9" s="125"/>
      <c r="N9" s="125"/>
      <c r="O9" s="125"/>
      <c r="P9" s="125"/>
      <c r="Q9" s="125"/>
      <c r="R9" s="125"/>
      <c r="S9" s="125"/>
    </row>
    <row r="10" spans="1:19" x14ac:dyDescent="0.3">
      <c r="A10" s="97">
        <v>36342</v>
      </c>
      <c r="B10" s="91">
        <f>-2629416331/(10^9)</f>
        <v>-2.6294163309999998</v>
      </c>
      <c r="C10" s="91">
        <f>78044354859/(10^9)</f>
        <v>78.044354858999995</v>
      </c>
      <c r="D10" s="91">
        <f>8642505941/(10^9)</f>
        <v>8.6425059409999996</v>
      </c>
      <c r="E10" s="3">
        <f>+AVERAGE(C3:C10)</f>
        <v>78.980472396750002</v>
      </c>
      <c r="F10" s="3">
        <f>+AVERAGE(D3:D10)</f>
        <v>8.5595188411249996</v>
      </c>
      <c r="G10" s="98">
        <f t="shared" si="0"/>
        <v>-3.3291980298514887</v>
      </c>
      <c r="H10" s="42">
        <f t="shared" si="1"/>
        <v>-30.719207233550627</v>
      </c>
      <c r="I10" s="3"/>
      <c r="J10" s="102"/>
      <c r="K10" s="48" t="b">
        <f t="shared" si="2"/>
        <v>1</v>
      </c>
      <c r="L10" s="125"/>
      <c r="M10" s="125"/>
      <c r="N10" s="125"/>
      <c r="O10" s="125"/>
      <c r="P10" s="125"/>
      <c r="Q10" s="125"/>
      <c r="R10" s="125"/>
      <c r="S10" s="125"/>
    </row>
    <row r="11" spans="1:19" x14ac:dyDescent="0.3">
      <c r="A11" s="97">
        <v>36373</v>
      </c>
      <c r="B11" s="91">
        <f>-2798992751/(10^9)</f>
        <v>-2.7989927510000001</v>
      </c>
      <c r="C11" s="91">
        <f>79301188972/(10^9)</f>
        <v>79.301188972000006</v>
      </c>
      <c r="D11" s="91">
        <f>9347980233/(10^9)</f>
        <v>9.3479802329999995</v>
      </c>
      <c r="E11" s="3">
        <f>+AVERAGE(C3:C11)</f>
        <v>79.016107571777781</v>
      </c>
      <c r="F11" s="3">
        <f>+AVERAGE(D3:D11)</f>
        <v>8.647125662444445</v>
      </c>
      <c r="G11" s="98">
        <f t="shared" si="0"/>
        <v>-3.5423065461145513</v>
      </c>
      <c r="H11" s="42">
        <f t="shared" si="1"/>
        <v>-32.36905372101134</v>
      </c>
      <c r="I11" s="3"/>
      <c r="J11" s="102"/>
      <c r="K11" s="48" t="b">
        <f t="shared" si="2"/>
        <v>1</v>
      </c>
      <c r="L11" s="125"/>
      <c r="M11" s="125"/>
      <c r="N11" s="125"/>
      <c r="O11" s="125"/>
      <c r="P11" s="125"/>
      <c r="Q11" s="125"/>
      <c r="R11" s="125"/>
      <c r="S11" s="125"/>
    </row>
    <row r="12" spans="1:19" x14ac:dyDescent="0.3">
      <c r="A12" s="97">
        <v>36404</v>
      </c>
      <c r="B12" s="91">
        <f>-3051751229/(10^9)</f>
        <v>-3.0517512290000002</v>
      </c>
      <c r="C12" s="91">
        <f>80796369583/(10^9)</f>
        <v>80.796369583000001</v>
      </c>
      <c r="D12" s="91">
        <f>9958265913/(10^9)</f>
        <v>9.958265913</v>
      </c>
      <c r="E12" s="3">
        <f>+AVERAGE(C3:C12)</f>
        <v>79.194133772900003</v>
      </c>
      <c r="F12" s="3">
        <f>+AVERAGE(D3:D12)</f>
        <v>8.7782396875000011</v>
      </c>
      <c r="G12" s="98">
        <f t="shared" si="0"/>
        <v>-3.8535066722887756</v>
      </c>
      <c r="H12" s="42">
        <f t="shared" si="1"/>
        <v>-34.764956729828413</v>
      </c>
      <c r="I12" s="3"/>
      <c r="J12" s="102"/>
      <c r="K12" s="48" t="b">
        <f t="shared" si="2"/>
        <v>1</v>
      </c>
      <c r="L12" s="125"/>
      <c r="M12" s="125"/>
      <c r="N12" s="125"/>
      <c r="O12" s="125"/>
      <c r="P12" s="125"/>
      <c r="Q12" s="125"/>
      <c r="R12" s="125"/>
      <c r="S12" s="125"/>
    </row>
    <row r="13" spans="1:19" x14ac:dyDescent="0.3">
      <c r="A13" s="97">
        <v>36434</v>
      </c>
      <c r="B13" s="91">
        <f>-2929488438/(10^9)</f>
        <v>-2.9294884379999999</v>
      </c>
      <c r="C13" s="91">
        <f>79990990339/(10^9)</f>
        <v>79.990990339000007</v>
      </c>
      <c r="D13" s="91">
        <f>9770096693/(10^9)</f>
        <v>9.7700966929999993</v>
      </c>
      <c r="E13" s="3">
        <f>+AVERAGE(C3:C13)</f>
        <v>79.266575278909102</v>
      </c>
      <c r="F13" s="3">
        <f>+AVERAGE(D3:D13)</f>
        <v>8.8684085061818188</v>
      </c>
      <c r="G13" s="98">
        <f t="shared" si="0"/>
        <v>-3.695742408060696</v>
      </c>
      <c r="H13" s="42">
        <f t="shared" si="1"/>
        <v>-33.032854045435194</v>
      </c>
      <c r="I13" s="3"/>
      <c r="J13" s="102"/>
      <c r="K13" s="48" t="b">
        <f t="shared" si="2"/>
        <v>1</v>
      </c>
      <c r="L13" s="125"/>
      <c r="M13" s="125"/>
      <c r="N13" s="125"/>
      <c r="O13" s="125"/>
      <c r="P13" s="125"/>
      <c r="Q13" s="125"/>
      <c r="R13" s="125"/>
      <c r="S13" s="125"/>
    </row>
    <row r="14" spans="1:19" x14ac:dyDescent="0.3">
      <c r="A14" s="97">
        <v>36465</v>
      </c>
      <c r="B14" s="91">
        <f>-2922398552/(10^9)</f>
        <v>-2.9223985520000002</v>
      </c>
      <c r="C14" s="91">
        <f>80637229474/(10^9)</f>
        <v>80.637229473999994</v>
      </c>
      <c r="D14" s="91">
        <f>9630815785/(10^9)</f>
        <v>9.6308157849999994</v>
      </c>
      <c r="E14" s="3">
        <f t="shared" ref="E14:F51" si="3">+AVERAGE(C3:C14)</f>
        <v>79.380796461833341</v>
      </c>
      <c r="F14" s="3">
        <f t="shared" si="3"/>
        <v>8.9319424460833332</v>
      </c>
      <c r="G14" s="98">
        <f t="shared" si="0"/>
        <v>-3.6814931094891485</v>
      </c>
      <c r="H14" s="42">
        <f t="shared" si="1"/>
        <v>-32.718510779046447</v>
      </c>
      <c r="I14" s="3"/>
      <c r="J14" s="102"/>
      <c r="K14" s="48" t="b">
        <f t="shared" si="2"/>
        <v>1</v>
      </c>
      <c r="L14" s="125"/>
      <c r="M14" s="125"/>
      <c r="N14" s="125"/>
      <c r="O14" s="125"/>
      <c r="P14" s="125"/>
      <c r="Q14" s="125"/>
      <c r="R14" s="125"/>
      <c r="S14" s="125"/>
    </row>
    <row r="15" spans="1:19" x14ac:dyDescent="0.3">
      <c r="A15" s="97">
        <v>36495</v>
      </c>
      <c r="B15" s="91">
        <f>-2903933352/(10^9)</f>
        <v>-2.9039333520000001</v>
      </c>
      <c r="C15" s="91">
        <f>80136022670/(10^9)</f>
        <v>80.136022670000003</v>
      </c>
      <c r="D15" s="91">
        <f>8912061319/(10^9)</f>
        <v>8.9120613189999993</v>
      </c>
      <c r="E15" s="3">
        <f t="shared" si="3"/>
        <v>79.424400126083341</v>
      </c>
      <c r="F15" s="3">
        <f t="shared" si="3"/>
        <v>8.9529184444166656</v>
      </c>
      <c r="G15" s="98">
        <f t="shared" si="0"/>
        <v>-3.6562232102352827</v>
      </c>
      <c r="H15" s="42">
        <f t="shared" si="1"/>
        <v>-32.435605998522057</v>
      </c>
      <c r="I15" s="3"/>
      <c r="J15" s="102"/>
      <c r="K15" s="48" t="b">
        <f t="shared" si="2"/>
        <v>1</v>
      </c>
      <c r="L15" s="125"/>
      <c r="M15" s="125"/>
      <c r="N15" s="125"/>
      <c r="O15" s="125"/>
      <c r="P15" s="125"/>
      <c r="Q15" s="125"/>
      <c r="R15" s="125"/>
      <c r="S15" s="125"/>
    </row>
    <row r="16" spans="1:19" x14ac:dyDescent="0.3">
      <c r="A16" s="97">
        <v>36526</v>
      </c>
      <c r="B16" s="91">
        <f>-2812879923/(10^9)</f>
        <v>-2.8128799230000001</v>
      </c>
      <c r="C16" s="91">
        <f>80603404128/(10^9)</f>
        <v>80.603404127999994</v>
      </c>
      <c r="D16" s="91">
        <f>9016294494/(10^9)</f>
        <v>9.0162944940000003</v>
      </c>
      <c r="E16" s="3">
        <f t="shared" si="3"/>
        <v>79.435522440499994</v>
      </c>
      <c r="F16" s="3">
        <f t="shared" si="3"/>
        <v>8.9879689485833349</v>
      </c>
      <c r="G16" s="98">
        <f t="shared" si="0"/>
        <v>-3.5410856963985431</v>
      </c>
      <c r="H16" s="42">
        <f t="shared" si="1"/>
        <v>-31.296057419550394</v>
      </c>
      <c r="I16" s="3"/>
      <c r="J16" s="102"/>
      <c r="K16" s="48" t="b">
        <f t="shared" si="2"/>
        <v>1</v>
      </c>
      <c r="L16" s="125"/>
      <c r="M16" s="125"/>
      <c r="N16" s="125"/>
      <c r="O16" s="125"/>
      <c r="P16" s="125"/>
      <c r="Q16" s="125"/>
      <c r="R16" s="125"/>
      <c r="S16" s="125"/>
    </row>
    <row r="17" spans="1:19" x14ac:dyDescent="0.3">
      <c r="A17" s="97">
        <v>36557</v>
      </c>
      <c r="B17" s="91">
        <f>-2607757559/(10^9)</f>
        <v>-2.6077575589999999</v>
      </c>
      <c r="C17" s="91">
        <f>77295379758/(10^9)</f>
        <v>77.295379757999996</v>
      </c>
      <c r="D17" s="91">
        <f>9030446419/(10^9)</f>
        <v>9.0304464190000004</v>
      </c>
      <c r="E17" s="3">
        <f t="shared" si="3"/>
        <v>79.230636066166667</v>
      </c>
      <c r="F17" s="3">
        <f t="shared" si="3"/>
        <v>9.0217245534999986</v>
      </c>
      <c r="G17" s="98">
        <f t="shared" si="0"/>
        <v>-3.2913500237739139</v>
      </c>
      <c r="H17" s="42">
        <f t="shared" si="1"/>
        <v>-28.90531121334573</v>
      </c>
      <c r="I17" s="3"/>
      <c r="J17" s="102"/>
      <c r="K17" s="48" t="b">
        <f t="shared" si="2"/>
        <v>1</v>
      </c>
      <c r="L17" s="125"/>
      <c r="M17" s="125"/>
      <c r="N17" s="125"/>
      <c r="O17" s="125"/>
      <c r="P17" s="125"/>
      <c r="Q17" s="125"/>
      <c r="R17" s="125"/>
      <c r="S17" s="125"/>
    </row>
    <row r="18" spans="1:19" x14ac:dyDescent="0.3">
      <c r="A18" s="97">
        <v>36586</v>
      </c>
      <c r="B18" s="91">
        <f>-2551153503/(10^9)</f>
        <v>-2.5511535030000001</v>
      </c>
      <c r="C18" s="91">
        <f>77304034628/(10^9)</f>
        <v>77.304034627999997</v>
      </c>
      <c r="D18" s="91">
        <f>9293356269/(10^9)</f>
        <v>9.2933562690000002</v>
      </c>
      <c r="E18" s="3">
        <f t="shared" si="3"/>
        <v>79.11250340816666</v>
      </c>
      <c r="F18" s="3">
        <f t="shared" si="3"/>
        <v>9.0819396323333326</v>
      </c>
      <c r="G18" s="98">
        <f t="shared" si="0"/>
        <v>-3.2247159337605393</v>
      </c>
      <c r="H18" s="42">
        <f t="shared" si="1"/>
        <v>-28.090403661321822</v>
      </c>
      <c r="I18" s="3"/>
      <c r="J18" s="102"/>
      <c r="K18" s="48" t="b">
        <f t="shared" si="2"/>
        <v>1</v>
      </c>
      <c r="L18" s="125"/>
      <c r="M18" s="125"/>
      <c r="N18" s="125"/>
      <c r="O18" s="125"/>
      <c r="P18" s="125"/>
      <c r="Q18" s="125"/>
      <c r="R18" s="125"/>
      <c r="S18" s="125"/>
    </row>
    <row r="19" spans="1:19" x14ac:dyDescent="0.3">
      <c r="A19" s="97">
        <v>36617</v>
      </c>
      <c r="B19" s="91">
        <f>-2877517502/(10^9)</f>
        <v>-2.8775175019999999</v>
      </c>
      <c r="C19" s="91">
        <f>77888103008/(10^9)</f>
        <v>77.888103008000002</v>
      </c>
      <c r="D19" s="91">
        <f>9196414540/(10^9)</f>
        <v>9.1964145399999992</v>
      </c>
      <c r="E19" s="3">
        <f t="shared" si="3"/>
        <v>79.005009136083331</v>
      </c>
      <c r="F19" s="3">
        <f t="shared" si="3"/>
        <v>9.1375277825000012</v>
      </c>
      <c r="G19" s="98">
        <f t="shared" si="0"/>
        <v>-3.6421962777620567</v>
      </c>
      <c r="H19" s="42">
        <f t="shared" si="1"/>
        <v>-31.491203862722696</v>
      </c>
      <c r="I19" s="3"/>
      <c r="J19" s="102"/>
      <c r="K19" s="48" t="b">
        <f t="shared" si="2"/>
        <v>1</v>
      </c>
      <c r="L19" s="125"/>
      <c r="M19" s="125"/>
      <c r="N19" s="125"/>
      <c r="O19" s="125"/>
      <c r="P19" s="125"/>
      <c r="Q19" s="125"/>
      <c r="R19" s="125"/>
      <c r="S19" s="125"/>
    </row>
    <row r="20" spans="1:19" x14ac:dyDescent="0.3">
      <c r="A20" s="97">
        <v>36647</v>
      </c>
      <c r="B20" s="91">
        <f>-2921250420/(10^9)</f>
        <v>-2.9212504199999998</v>
      </c>
      <c r="C20" s="91">
        <f>78072138915/(10^9)</f>
        <v>78.072138914999996</v>
      </c>
      <c r="D20" s="91">
        <f>9324235726/(10^9)</f>
        <v>9.3242357259999995</v>
      </c>
      <c r="E20" s="3">
        <f t="shared" si="3"/>
        <v>78.995548606833324</v>
      </c>
      <c r="F20" s="3">
        <f t="shared" si="3"/>
        <v>9.2165912101666674</v>
      </c>
      <c r="G20" s="98">
        <f t="shared" si="0"/>
        <v>-3.6979937116954256</v>
      </c>
      <c r="H20" s="42">
        <f t="shared" si="1"/>
        <v>-31.695562419841483</v>
      </c>
      <c r="I20" s="3"/>
      <c r="J20" s="102"/>
      <c r="K20" s="48" t="b">
        <f t="shared" si="2"/>
        <v>1</v>
      </c>
      <c r="L20" s="125"/>
      <c r="M20" s="125"/>
      <c r="N20" s="125"/>
      <c r="O20" s="125"/>
      <c r="P20" s="125"/>
      <c r="Q20" s="125"/>
      <c r="R20" s="125"/>
      <c r="S20" s="125"/>
    </row>
    <row r="21" spans="1:19" x14ac:dyDescent="0.3">
      <c r="A21" s="97">
        <v>36678</v>
      </c>
      <c r="B21" s="91">
        <f>-2967910480/(10^9)</f>
        <v>-2.96791048</v>
      </c>
      <c r="C21" s="91">
        <f>77605701987/(10^9)</f>
        <v>77.605701987000003</v>
      </c>
      <c r="D21" s="91">
        <f>9055914208/(10^9)</f>
        <v>9.0559142080000008</v>
      </c>
      <c r="E21" s="3">
        <f t="shared" si="3"/>
        <v>78.97290986008332</v>
      </c>
      <c r="F21" s="3">
        <f t="shared" si="3"/>
        <v>9.2648656283333342</v>
      </c>
      <c r="G21" s="98">
        <f t="shared" si="0"/>
        <v>-3.7581374236535807</v>
      </c>
      <c r="H21" s="42">
        <f t="shared" si="1"/>
        <v>-32.034036963511795</v>
      </c>
      <c r="I21" s="3"/>
      <c r="J21" s="102"/>
      <c r="K21" s="48" t="b">
        <f t="shared" si="2"/>
        <v>1</v>
      </c>
      <c r="L21" s="125"/>
      <c r="M21" s="125"/>
      <c r="N21" s="125"/>
      <c r="O21" s="125"/>
      <c r="P21" s="125"/>
      <c r="Q21" s="125"/>
      <c r="R21" s="125"/>
      <c r="S21" s="125"/>
    </row>
    <row r="22" spans="1:19" x14ac:dyDescent="0.3">
      <c r="A22" s="97">
        <v>36708</v>
      </c>
      <c r="B22" s="91">
        <f>-3064631671/(10^9)</f>
        <v>-3.0646316709999999</v>
      </c>
      <c r="C22" s="91">
        <f>77701414662/(10^9)</f>
        <v>77.701414662000005</v>
      </c>
      <c r="D22" s="91">
        <f>9047949097/(10^9)</f>
        <v>9.0479490970000001</v>
      </c>
      <c r="E22" s="3">
        <f t="shared" si="3"/>
        <v>78.944331510333328</v>
      </c>
      <c r="F22" s="3">
        <f t="shared" si="3"/>
        <v>9.2986525579999988</v>
      </c>
      <c r="G22" s="98">
        <f t="shared" si="0"/>
        <v>-3.8820161148604551</v>
      </c>
      <c r="H22" s="42">
        <f t="shared" si="1"/>
        <v>-32.957803852595568</v>
      </c>
      <c r="I22" s="3"/>
      <c r="J22" s="102"/>
      <c r="K22" s="48" t="b">
        <f t="shared" si="2"/>
        <v>1</v>
      </c>
      <c r="L22" s="125"/>
      <c r="M22" s="125"/>
      <c r="N22" s="125"/>
      <c r="O22" s="125"/>
      <c r="P22" s="125"/>
      <c r="Q22" s="125"/>
      <c r="R22" s="125"/>
      <c r="S22" s="125"/>
    </row>
    <row r="23" spans="1:19" x14ac:dyDescent="0.3">
      <c r="A23" s="97">
        <v>36739</v>
      </c>
      <c r="B23" s="91">
        <f>-3043770341/(10^9)</f>
        <v>-3.0437703410000001</v>
      </c>
      <c r="C23" s="91">
        <f>77298952096/(10^9)</f>
        <v>77.298952095999994</v>
      </c>
      <c r="D23" s="91">
        <f>8818176111/(10^9)</f>
        <v>8.8181761109999997</v>
      </c>
      <c r="E23" s="3">
        <f t="shared" si="3"/>
        <v>78.777478437333329</v>
      </c>
      <c r="F23" s="3">
        <f t="shared" si="3"/>
        <v>9.2545022145000004</v>
      </c>
      <c r="G23" s="98">
        <f t="shared" si="0"/>
        <v>-3.8637570043845564</v>
      </c>
      <c r="H23" s="42">
        <f t="shared" si="1"/>
        <v>-32.889617079900916</v>
      </c>
      <c r="I23" s="3"/>
      <c r="J23" s="102"/>
      <c r="K23" s="48" t="b">
        <f t="shared" si="2"/>
        <v>1</v>
      </c>
      <c r="L23" s="125"/>
      <c r="M23" s="125"/>
      <c r="N23" s="125"/>
      <c r="O23" s="125"/>
      <c r="P23" s="125"/>
      <c r="Q23" s="125"/>
      <c r="R23" s="125"/>
      <c r="S23" s="125"/>
    </row>
    <row r="24" spans="1:19" x14ac:dyDescent="0.3">
      <c r="A24" s="97">
        <v>36770</v>
      </c>
      <c r="B24" s="91">
        <f>-2857287368/(10^9)</f>
        <v>-2.8572873680000002</v>
      </c>
      <c r="C24" s="91">
        <f>77588229693/(10^9)</f>
        <v>77.588229693000002</v>
      </c>
      <c r="D24" s="91">
        <f>9264229188/(10^9)</f>
        <v>9.2642291879999998</v>
      </c>
      <c r="E24" s="3">
        <f t="shared" si="3"/>
        <v>78.510133446499992</v>
      </c>
      <c r="F24" s="3">
        <f t="shared" si="3"/>
        <v>9.1966658207500007</v>
      </c>
      <c r="G24" s="98">
        <f t="shared" si="0"/>
        <v>-3.639386716807802</v>
      </c>
      <c r="H24" s="42">
        <f t="shared" si="1"/>
        <v>-31.068731034602109</v>
      </c>
      <c r="I24" s="3"/>
      <c r="J24" s="102"/>
      <c r="K24" s="48" t="b">
        <f t="shared" si="2"/>
        <v>1</v>
      </c>
      <c r="L24" s="125"/>
      <c r="M24" s="125"/>
      <c r="N24" s="125"/>
      <c r="O24" s="125"/>
      <c r="P24" s="125"/>
      <c r="Q24" s="125"/>
      <c r="R24" s="125"/>
      <c r="S24" s="125"/>
    </row>
    <row r="25" spans="1:19" x14ac:dyDescent="0.3">
      <c r="A25" s="97">
        <v>36800</v>
      </c>
      <c r="B25" s="91">
        <f>-2457199005/(10^9)</f>
        <v>-2.4571990050000001</v>
      </c>
      <c r="C25" s="91">
        <f>78344698181/(10^9)</f>
        <v>78.344698180999998</v>
      </c>
      <c r="D25" s="91">
        <f>9565306699/(10^9)</f>
        <v>9.5653066990000006</v>
      </c>
      <c r="E25" s="3">
        <f t="shared" si="3"/>
        <v>78.372942433333336</v>
      </c>
      <c r="F25" s="3">
        <f t="shared" si="3"/>
        <v>9.1795999879166672</v>
      </c>
      <c r="G25" s="98">
        <f t="shared" si="0"/>
        <v>-3.1352644531499836</v>
      </c>
      <c r="H25" s="42">
        <f t="shared" si="1"/>
        <v>-26.768040091447027</v>
      </c>
      <c r="I25" s="3"/>
      <c r="J25" s="102"/>
      <c r="K25" s="48" t="b">
        <f t="shared" si="2"/>
        <v>1</v>
      </c>
      <c r="L25" s="148" t="s">
        <v>0</v>
      </c>
      <c r="M25" s="125"/>
      <c r="N25" s="125"/>
      <c r="O25" s="125"/>
      <c r="P25" s="125"/>
      <c r="Q25" s="125"/>
      <c r="R25" s="125"/>
      <c r="S25" s="125"/>
    </row>
    <row r="26" spans="1:19" x14ac:dyDescent="0.3">
      <c r="A26" s="97">
        <v>36831</v>
      </c>
      <c r="B26" s="91">
        <f>-2377433230/(10^9)</f>
        <v>-2.3774332299999998</v>
      </c>
      <c r="C26" s="91">
        <f>78835000489/(10^9)</f>
        <v>78.835000488999995</v>
      </c>
      <c r="D26" s="91">
        <f>9276717432/(10^9)</f>
        <v>9.2767174319999999</v>
      </c>
      <c r="E26" s="3">
        <f t="shared" si="3"/>
        <v>78.222756684583331</v>
      </c>
      <c r="F26" s="3">
        <f t="shared" si="3"/>
        <v>9.1500917918333329</v>
      </c>
      <c r="G26" s="98">
        <f t="shared" si="0"/>
        <v>-3.0393114878148499</v>
      </c>
      <c r="H26" s="42">
        <f t="shared" si="1"/>
        <v>-25.982616175740592</v>
      </c>
      <c r="I26" s="3"/>
      <c r="J26" s="102"/>
      <c r="K26" s="48" t="b">
        <f t="shared" si="2"/>
        <v>1</v>
      </c>
      <c r="L26" s="125"/>
      <c r="M26" s="125"/>
      <c r="N26" s="125"/>
      <c r="O26" s="125"/>
      <c r="P26" s="125"/>
      <c r="Q26" s="125"/>
      <c r="R26" s="125"/>
      <c r="S26" s="125"/>
    </row>
    <row r="27" spans="1:19" x14ac:dyDescent="0.3">
      <c r="A27" s="97">
        <v>36861</v>
      </c>
      <c r="B27" s="91">
        <f>-1833583813/(10^9)</f>
        <v>-1.833583813</v>
      </c>
      <c r="C27" s="91">
        <f>79710559197/(10^9)</f>
        <v>79.710559196999995</v>
      </c>
      <c r="D27" s="91">
        <f>8870160334/(10^9)</f>
        <v>8.8701603339999995</v>
      </c>
      <c r="E27" s="3">
        <f t="shared" si="3"/>
        <v>78.187301395166671</v>
      </c>
      <c r="F27" s="3">
        <f t="shared" si="3"/>
        <v>9.1466000430833336</v>
      </c>
      <c r="G27" s="98">
        <f t="shared" si="0"/>
        <v>-2.345117148541652</v>
      </c>
      <c r="H27" s="42">
        <f t="shared" si="1"/>
        <v>-20.046616276684773</v>
      </c>
      <c r="I27" s="3"/>
      <c r="J27" s="102"/>
      <c r="K27" s="48" t="b">
        <f t="shared" si="2"/>
        <v>1</v>
      </c>
      <c r="L27" s="122"/>
      <c r="M27" s="122"/>
      <c r="N27" s="122"/>
      <c r="O27" s="122"/>
      <c r="P27" s="125"/>
      <c r="Q27" s="125"/>
      <c r="R27" s="125"/>
      <c r="S27" s="125"/>
    </row>
    <row r="28" spans="1:19" x14ac:dyDescent="0.3">
      <c r="A28" s="97">
        <v>36892</v>
      </c>
      <c r="B28" s="91">
        <f>-1800965093/(10^9)</f>
        <v>-1.8009650930000001</v>
      </c>
      <c r="C28" s="91">
        <f>79353841999/(10^9)</f>
        <v>79.353841998999997</v>
      </c>
      <c r="D28" s="91">
        <f>8882971931/(10^9)</f>
        <v>8.8829719310000002</v>
      </c>
      <c r="E28" s="3">
        <f t="shared" si="3"/>
        <v>78.083171217749992</v>
      </c>
      <c r="F28" s="3">
        <f t="shared" si="3"/>
        <v>9.1354898295000009</v>
      </c>
      <c r="G28" s="98">
        <f t="shared" si="0"/>
        <v>-2.3064702226010536</v>
      </c>
      <c r="H28" s="42">
        <f t="shared" si="1"/>
        <v>-19.713941196501441</v>
      </c>
      <c r="I28" s="3"/>
      <c r="J28" s="102"/>
      <c r="K28" s="48" t="b">
        <f t="shared" si="2"/>
        <v>1</v>
      </c>
    </row>
    <row r="29" spans="1:19" x14ac:dyDescent="0.3">
      <c r="A29" s="97">
        <v>36923</v>
      </c>
      <c r="B29" s="91">
        <f>-1807742003/(10^9)</f>
        <v>-1.807742003</v>
      </c>
      <c r="C29" s="91">
        <f>78635952193/(10^9)</f>
        <v>78.635952192999994</v>
      </c>
      <c r="D29" s="91">
        <f>9006973546/(10^9)</f>
        <v>9.0069735459999993</v>
      </c>
      <c r="E29" s="3">
        <f t="shared" si="3"/>
        <v>78.194885587333317</v>
      </c>
      <c r="F29" s="3">
        <f t="shared" si="3"/>
        <v>9.1335337567499995</v>
      </c>
      <c r="G29" s="98">
        <f t="shared" si="0"/>
        <v>-2.3118417392925168</v>
      </c>
      <c r="H29" s="42">
        <f t="shared" si="1"/>
        <v>-19.792361326348804</v>
      </c>
      <c r="I29" s="3"/>
      <c r="J29" s="102"/>
      <c r="K29" s="48" t="b">
        <f t="shared" si="2"/>
        <v>1</v>
      </c>
      <c r="L29" s="40"/>
    </row>
    <row r="30" spans="1:19" x14ac:dyDescent="0.3">
      <c r="A30" s="97">
        <v>36951</v>
      </c>
      <c r="B30" s="91">
        <f>-1550580347/(10^9)</f>
        <v>-1.5505803469999999</v>
      </c>
      <c r="C30" s="91">
        <f>78758727771/(10^9)</f>
        <v>78.758727770999997</v>
      </c>
      <c r="D30" s="91">
        <f>8977791492/(10^9)</f>
        <v>8.9777914919999997</v>
      </c>
      <c r="E30" s="3">
        <f t="shared" si="3"/>
        <v>78.316110015916664</v>
      </c>
      <c r="F30" s="3">
        <f t="shared" si="3"/>
        <v>9.107236691999999</v>
      </c>
      <c r="G30" s="98">
        <f t="shared" si="0"/>
        <v>-1.9798995975219735</v>
      </c>
      <c r="H30" s="42">
        <f t="shared" si="1"/>
        <v>-17.025804856505644</v>
      </c>
      <c r="I30" s="3"/>
      <c r="J30" s="102"/>
      <c r="K30" s="48" t="b">
        <f t="shared" si="2"/>
        <v>1</v>
      </c>
    </row>
    <row r="31" spans="1:19" x14ac:dyDescent="0.3">
      <c r="A31" s="97">
        <v>36982</v>
      </c>
      <c r="B31" s="91">
        <f>-978695109/(10^9)</f>
        <v>-0.97869510900000001</v>
      </c>
      <c r="C31" s="91">
        <f>79352513890/(10^9)</f>
        <v>79.352513889999997</v>
      </c>
      <c r="D31" s="91">
        <f>9077472262/(10^9)</f>
        <v>9.0774722620000006</v>
      </c>
      <c r="E31" s="3">
        <f t="shared" si="3"/>
        <v>78.438144256083319</v>
      </c>
      <c r="F31" s="3">
        <f t="shared" si="3"/>
        <v>9.0973248355000003</v>
      </c>
      <c r="G31" s="98">
        <f t="shared" si="0"/>
        <v>-1.2477285360102037</v>
      </c>
      <c r="H31" s="42">
        <f t="shared" si="1"/>
        <v>-10.758053897129086</v>
      </c>
      <c r="I31" s="3"/>
      <c r="J31" s="102"/>
      <c r="K31" s="48" t="b">
        <f t="shared" si="2"/>
        <v>1</v>
      </c>
    </row>
    <row r="32" spans="1:19" x14ac:dyDescent="0.3">
      <c r="A32" s="97">
        <v>37012</v>
      </c>
      <c r="B32" s="91">
        <f>-753304755/(10^9)</f>
        <v>-0.75330475500000005</v>
      </c>
      <c r="C32" s="91">
        <f>79591336372/(10^9)</f>
        <v>79.591336372000001</v>
      </c>
      <c r="D32" s="91">
        <f>9114053363/(10^9)</f>
        <v>9.114053363</v>
      </c>
      <c r="E32" s="3">
        <f t="shared" si="3"/>
        <v>78.564744044166659</v>
      </c>
      <c r="F32" s="3">
        <f t="shared" si="3"/>
        <v>9.0798096385833311</v>
      </c>
      <c r="G32" s="98">
        <f t="shared" si="0"/>
        <v>-0.95883307985642452</v>
      </c>
      <c r="H32" s="42">
        <f t="shared" si="1"/>
        <v>-8.2964818094747379</v>
      </c>
      <c r="I32" s="3"/>
      <c r="J32" s="102"/>
      <c r="K32" s="48" t="b">
        <f t="shared" si="2"/>
        <v>1</v>
      </c>
    </row>
    <row r="33" spans="1:12" x14ac:dyDescent="0.3">
      <c r="A33" s="97">
        <v>37043</v>
      </c>
      <c r="B33" s="91">
        <f>-581244616/(10^9)</f>
        <v>-0.58124461599999999</v>
      </c>
      <c r="C33" s="91">
        <f>80196592971/(10^9)</f>
        <v>80.196592971000001</v>
      </c>
      <c r="D33" s="91">
        <f>9051525736/(10^9)</f>
        <v>9.0515257360000003</v>
      </c>
      <c r="E33" s="3">
        <f t="shared" si="3"/>
        <v>78.780651626166659</v>
      </c>
      <c r="F33" s="3">
        <f t="shared" si="3"/>
        <v>9.0794439325833327</v>
      </c>
      <c r="G33" s="98">
        <f t="shared" si="0"/>
        <v>-0.73780122911161861</v>
      </c>
      <c r="H33" s="42">
        <f t="shared" si="1"/>
        <v>-6.4017644727568808</v>
      </c>
      <c r="I33" s="3"/>
      <c r="J33" s="102"/>
      <c r="K33" s="48" t="b">
        <f t="shared" si="2"/>
        <v>1</v>
      </c>
    </row>
    <row r="34" spans="1:12" x14ac:dyDescent="0.3">
      <c r="A34" s="97">
        <v>37073</v>
      </c>
      <c r="B34" s="91">
        <f>-393393576/(10^9)</f>
        <v>-0.39339357600000002</v>
      </c>
      <c r="C34" s="91">
        <f>79804800617/(10^9)</f>
        <v>79.804800616999998</v>
      </c>
      <c r="D34" s="91">
        <f>8975890519/(10^9)</f>
        <v>8.975890519</v>
      </c>
      <c r="E34" s="3">
        <f t="shared" si="3"/>
        <v>78.955933789083332</v>
      </c>
      <c r="F34" s="3">
        <f t="shared" si="3"/>
        <v>9.0734390510833336</v>
      </c>
      <c r="G34" s="98">
        <f t="shared" si="0"/>
        <v>-0.49824447273447575</v>
      </c>
      <c r="H34" s="42">
        <f t="shared" si="1"/>
        <v>-4.3356611951124568</v>
      </c>
      <c r="I34" s="3"/>
      <c r="J34" s="102"/>
      <c r="K34" s="48" t="b">
        <f t="shared" si="2"/>
        <v>1</v>
      </c>
    </row>
    <row r="35" spans="1:12" x14ac:dyDescent="0.3">
      <c r="A35" s="97">
        <v>37104</v>
      </c>
      <c r="B35" s="91">
        <f>-158784967/(10^9)</f>
        <v>-0.158784967</v>
      </c>
      <c r="C35" s="91">
        <f>79999562835/(10^9)</f>
        <v>79.999562835000006</v>
      </c>
      <c r="D35" s="91">
        <f>9020410210/(10^9)</f>
        <v>9.0204102099999997</v>
      </c>
      <c r="E35" s="3">
        <f t="shared" si="3"/>
        <v>79.180984683999995</v>
      </c>
      <c r="F35" s="3">
        <f t="shared" si="3"/>
        <v>9.0902918926666647</v>
      </c>
      <c r="G35" s="98">
        <f t="shared" si="0"/>
        <v>-0.20053421618042278</v>
      </c>
      <c r="H35" s="42">
        <f t="shared" si="1"/>
        <v>-1.746753227232398</v>
      </c>
      <c r="I35" s="3"/>
      <c r="J35" s="102"/>
      <c r="K35" s="48" t="b">
        <f t="shared" si="2"/>
        <v>1</v>
      </c>
    </row>
    <row r="36" spans="1:12" x14ac:dyDescent="0.3">
      <c r="A36" s="97">
        <v>37135</v>
      </c>
      <c r="B36" s="91">
        <f>-281382160/(10^9)</f>
        <v>-0.28138215999999999</v>
      </c>
      <c r="C36" s="91">
        <f>80910121044/(10^9)</f>
        <v>80.910121043999993</v>
      </c>
      <c r="D36" s="91">
        <f>9135479681/(10^9)</f>
        <v>9.1354796809999996</v>
      </c>
      <c r="E36" s="3">
        <f t="shared" si="3"/>
        <v>79.457808963249988</v>
      </c>
      <c r="F36" s="3">
        <f t="shared" si="3"/>
        <v>9.079562767083333</v>
      </c>
      <c r="G36" s="98">
        <f t="shared" si="0"/>
        <v>-0.35412776122500683</v>
      </c>
      <c r="H36" s="42">
        <f t="shared" si="1"/>
        <v>-3.0990716978146913</v>
      </c>
      <c r="I36" s="3"/>
      <c r="J36" s="102"/>
      <c r="K36" s="48" t="b">
        <f t="shared" si="2"/>
        <v>1</v>
      </c>
    </row>
    <row r="37" spans="1:12" x14ac:dyDescent="0.3">
      <c r="A37" s="97">
        <v>37165</v>
      </c>
      <c r="B37" s="91">
        <f>-357044144/(10^9)</f>
        <v>-0.35704414400000001</v>
      </c>
      <c r="C37" s="91">
        <f>81622727023/(10^9)</f>
        <v>81.622727022999996</v>
      </c>
      <c r="D37" s="91">
        <f>9195836736/(10^9)</f>
        <v>9.1958367360000004</v>
      </c>
      <c r="E37" s="3">
        <f t="shared" si="3"/>
        <v>79.730978033416662</v>
      </c>
      <c r="F37" s="3">
        <f t="shared" si="3"/>
        <v>9.0487736035000008</v>
      </c>
      <c r="G37" s="98">
        <f t="shared" si="0"/>
        <v>-0.44781106767604995</v>
      </c>
      <c r="H37" s="42">
        <f t="shared" si="1"/>
        <v>-3.9457738655534258</v>
      </c>
      <c r="I37" s="3"/>
      <c r="J37" s="102"/>
      <c r="K37" s="48" t="b">
        <f t="shared" si="2"/>
        <v>1</v>
      </c>
    </row>
    <row r="38" spans="1:12" x14ac:dyDescent="0.3">
      <c r="A38" s="97">
        <v>37196</v>
      </c>
      <c r="B38" s="91">
        <f>-171299433/(10^9)</f>
        <v>-0.171299433</v>
      </c>
      <c r="C38" s="91">
        <f>83606334324/(10^9)</f>
        <v>83.606334324000002</v>
      </c>
      <c r="D38" s="91">
        <f>9449953439/(10^9)</f>
        <v>9.4499534389999997</v>
      </c>
      <c r="E38" s="3">
        <f t="shared" si="3"/>
        <v>80.128589186333343</v>
      </c>
      <c r="F38" s="3">
        <f t="shared" si="3"/>
        <v>9.0632099374166657</v>
      </c>
      <c r="G38" s="98">
        <f t="shared" si="0"/>
        <v>-0.21378066772354537</v>
      </c>
      <c r="H38" s="42">
        <f t="shared" si="1"/>
        <v>-1.8900525772089352</v>
      </c>
      <c r="I38" s="3"/>
      <c r="J38" s="102"/>
      <c r="K38" s="48" t="b">
        <f t="shared" si="2"/>
        <v>1</v>
      </c>
    </row>
    <row r="39" spans="1:12" x14ac:dyDescent="0.3">
      <c r="A39" s="97">
        <v>37226</v>
      </c>
      <c r="B39" s="91">
        <f>306799599/(10^9)</f>
        <v>0.30679959899999998</v>
      </c>
      <c r="C39" s="91">
        <f>84000894320/(10^9)</f>
        <v>84.00089432</v>
      </c>
      <c r="D39" s="91">
        <f>9498645145/(10^9)</f>
        <v>9.4986451449999993</v>
      </c>
      <c r="E39" s="3">
        <f t="shared" si="3"/>
        <v>80.486117113250003</v>
      </c>
      <c r="F39" s="3">
        <f t="shared" si="3"/>
        <v>9.1155836716666663</v>
      </c>
      <c r="G39" s="98">
        <f t="shared" si="0"/>
        <v>0.38118325247111862</v>
      </c>
      <c r="H39" s="42">
        <f t="shared" si="1"/>
        <v>3.3656605002003745</v>
      </c>
      <c r="I39" s="3"/>
      <c r="J39" s="102"/>
      <c r="K39" s="48" t="b">
        <f t="shared" si="2"/>
        <v>1</v>
      </c>
    </row>
    <row r="40" spans="1:12" x14ac:dyDescent="0.3">
      <c r="A40" s="97">
        <v>37257</v>
      </c>
      <c r="B40" s="91">
        <f>339571074/(10^9)</f>
        <v>0.33957107399999997</v>
      </c>
      <c r="C40" s="91">
        <f>82787833939/(10^9)</f>
        <v>82.787833938999995</v>
      </c>
      <c r="D40" s="91">
        <f>9292954967/(10^9)</f>
        <v>9.292954967</v>
      </c>
      <c r="E40" s="3">
        <f t="shared" si="3"/>
        <v>80.772283108250008</v>
      </c>
      <c r="F40" s="3">
        <f t="shared" si="3"/>
        <v>9.1497489246666674</v>
      </c>
      <c r="G40" s="98">
        <f t="shared" si="0"/>
        <v>0.42040544222937343</v>
      </c>
      <c r="H40" s="42">
        <f t="shared" si="1"/>
        <v>3.7112611154231296</v>
      </c>
      <c r="I40" s="3"/>
      <c r="J40" s="102"/>
      <c r="K40" s="48" t="b">
        <f t="shared" si="2"/>
        <v>1</v>
      </c>
    </row>
    <row r="41" spans="1:12" x14ac:dyDescent="0.3">
      <c r="A41" s="97">
        <v>37288</v>
      </c>
      <c r="B41" s="91">
        <f>414931279/(10^9)</f>
        <v>0.41493127899999999</v>
      </c>
      <c r="C41" s="91">
        <f>83468165814/(10^9)</f>
        <v>83.468165814000002</v>
      </c>
      <c r="D41" s="91">
        <f>9236262169/(10^9)</f>
        <v>9.2362621689999997</v>
      </c>
      <c r="E41" s="3">
        <f t="shared" si="3"/>
        <v>81.174967576666688</v>
      </c>
      <c r="F41" s="3">
        <f t="shared" si="3"/>
        <v>9.1688563099166664</v>
      </c>
      <c r="G41" s="98">
        <f t="shared" si="0"/>
        <v>0.51115669200374247</v>
      </c>
      <c r="H41" s="42">
        <f t="shared" si="1"/>
        <v>4.5254420505120905</v>
      </c>
      <c r="I41" s="3"/>
      <c r="J41" s="102"/>
      <c r="K41" s="48" t="b">
        <f t="shared" si="2"/>
        <v>1</v>
      </c>
    </row>
    <row r="42" spans="1:12" x14ac:dyDescent="0.3">
      <c r="A42" s="97">
        <v>37316</v>
      </c>
      <c r="B42" s="91">
        <f>340155868/(10^9)</f>
        <v>0.34015586799999997</v>
      </c>
      <c r="C42" s="91">
        <f>83590314088/(10^9)</f>
        <v>83.590314088</v>
      </c>
      <c r="D42" s="91">
        <f>9210819575/(10^9)</f>
        <v>9.2108195750000004</v>
      </c>
      <c r="E42" s="3">
        <f t="shared" si="3"/>
        <v>81.577599769750009</v>
      </c>
      <c r="F42" s="3">
        <f t="shared" si="3"/>
        <v>9.1882753168333338</v>
      </c>
      <c r="G42" s="98">
        <f t="shared" si="0"/>
        <v>0.41697214549101508</v>
      </c>
      <c r="H42" s="42">
        <f t="shared" si="1"/>
        <v>3.7020643839091232</v>
      </c>
      <c r="I42" s="3"/>
      <c r="J42" s="102"/>
      <c r="K42" s="48" t="b">
        <f t="shared" si="2"/>
        <v>1</v>
      </c>
    </row>
    <row r="43" spans="1:12" x14ac:dyDescent="0.3">
      <c r="A43" s="97">
        <v>37347</v>
      </c>
      <c r="B43" s="91">
        <f>398033299/(10^9)</f>
        <v>0.39803329900000001</v>
      </c>
      <c r="C43" s="91">
        <f>84708061867/(10^9)</f>
        <v>84.708061866999998</v>
      </c>
      <c r="D43" s="91">
        <f>9236135756/(10^9)</f>
        <v>9.2361357559999995</v>
      </c>
      <c r="E43" s="3">
        <f t="shared" si="3"/>
        <v>82.023895434500005</v>
      </c>
      <c r="F43" s="3">
        <f t="shared" si="3"/>
        <v>9.2014972746666661</v>
      </c>
      <c r="G43" s="98">
        <f t="shared" si="0"/>
        <v>0.48526505220402338</v>
      </c>
      <c r="H43" s="42">
        <f t="shared" si="1"/>
        <v>4.3257448991030563</v>
      </c>
      <c r="I43" s="3"/>
      <c r="J43" s="102"/>
      <c r="K43" s="48" t="b">
        <f t="shared" si="2"/>
        <v>1</v>
      </c>
    </row>
    <row r="44" spans="1:12" x14ac:dyDescent="0.3">
      <c r="A44" s="97">
        <v>37377</v>
      </c>
      <c r="B44" s="91">
        <f>527907651/(10^9)</f>
        <v>0.52790765100000003</v>
      </c>
      <c r="C44" s="91">
        <f>84637599195/(10^9)</f>
        <v>84.637599195000007</v>
      </c>
      <c r="D44" s="91">
        <f>9592754180/(10^9)</f>
        <v>9.59275418</v>
      </c>
      <c r="E44" s="3">
        <f t="shared" si="3"/>
        <v>82.444417336416663</v>
      </c>
      <c r="F44" s="3">
        <f t="shared" si="3"/>
        <v>9.2413890094166664</v>
      </c>
      <c r="G44" s="98">
        <f t="shared" si="0"/>
        <v>0.64031946377382798</v>
      </c>
      <c r="H44" s="42">
        <f t="shared" si="1"/>
        <v>5.7124275415966128</v>
      </c>
      <c r="I44" s="3"/>
      <c r="J44" s="102"/>
      <c r="K44" s="48" t="b">
        <f t="shared" si="2"/>
        <v>1</v>
      </c>
    </row>
    <row r="45" spans="1:12" x14ac:dyDescent="0.3">
      <c r="A45" s="97">
        <v>37408</v>
      </c>
      <c r="B45" s="91">
        <f>651542886/(10^9)</f>
        <v>0.65154288599999999</v>
      </c>
      <c r="C45" s="91">
        <f>85110179177/(10^9)</f>
        <v>85.110179177000006</v>
      </c>
      <c r="D45" s="91">
        <f>9555180999/(10^9)</f>
        <v>9.5551809989999992</v>
      </c>
      <c r="E45" s="3">
        <f t="shared" si="3"/>
        <v>82.853882853583329</v>
      </c>
      <c r="F45" s="3">
        <f t="shared" si="3"/>
        <v>9.2833602813333318</v>
      </c>
      <c r="G45" s="98">
        <f t="shared" si="0"/>
        <v>0.7863758022679338</v>
      </c>
      <c r="H45" s="42">
        <f t="shared" si="1"/>
        <v>7.0183949157946666</v>
      </c>
      <c r="I45" s="3"/>
      <c r="J45" s="102"/>
      <c r="K45" s="48" t="b">
        <f t="shared" si="2"/>
        <v>1</v>
      </c>
    </row>
    <row r="46" spans="1:12" x14ac:dyDescent="0.3">
      <c r="A46" s="97">
        <v>37438</v>
      </c>
      <c r="B46" s="91">
        <f>666363009/(10^9)</f>
        <v>0.66636300900000001</v>
      </c>
      <c r="C46" s="91">
        <f>85468788904/(10^9)</f>
        <v>85.468788903999993</v>
      </c>
      <c r="D46" s="91">
        <f>9678849708/(10^9)</f>
        <v>9.6788497079999996</v>
      </c>
      <c r="E46" s="3">
        <f t="shared" si="3"/>
        <v>83.325881877499995</v>
      </c>
      <c r="F46" s="3">
        <f t="shared" si="3"/>
        <v>9.3419402137500001</v>
      </c>
      <c r="G46" s="98">
        <f t="shared" si="0"/>
        <v>0.79970711858728516</v>
      </c>
      <c r="H46" s="42">
        <f t="shared" si="1"/>
        <v>7.1330258356739309</v>
      </c>
      <c r="I46" s="3"/>
      <c r="J46" s="102"/>
      <c r="K46" s="48" t="b">
        <f t="shared" si="2"/>
        <v>1</v>
      </c>
    </row>
    <row r="47" spans="1:12" x14ac:dyDescent="0.3">
      <c r="A47" s="97">
        <v>37469</v>
      </c>
      <c r="B47" s="91">
        <f>635966136/(10^9)</f>
        <v>0.63596613599999996</v>
      </c>
      <c r="C47" s="91">
        <f>85928932151/(10^9)</f>
        <v>85.928932150999998</v>
      </c>
      <c r="D47" s="91">
        <f>9541893948/(10^9)</f>
        <v>9.5418939480000002</v>
      </c>
      <c r="E47" s="3">
        <f t="shared" si="3"/>
        <v>83.819995987166664</v>
      </c>
      <c r="F47" s="3">
        <f t="shared" si="3"/>
        <v>9.385397191916665</v>
      </c>
      <c r="G47" s="98">
        <f t="shared" si="0"/>
        <v>0.75872842572954802</v>
      </c>
      <c r="H47" s="42">
        <f t="shared" si="1"/>
        <v>6.776123833605431</v>
      </c>
      <c r="I47" s="3"/>
      <c r="J47" s="102"/>
      <c r="K47" s="48" t="b">
        <f t="shared" si="2"/>
        <v>1</v>
      </c>
    </row>
    <row r="48" spans="1:12" x14ac:dyDescent="0.3">
      <c r="A48" s="97">
        <v>37500</v>
      </c>
      <c r="B48" s="91">
        <f>888861426/(10^9)</f>
        <v>0.88886142599999995</v>
      </c>
      <c r="C48" s="91">
        <f>86546868527/(10^9)</f>
        <v>86.546868527000001</v>
      </c>
      <c r="D48" s="91">
        <f>9329222190/(10^9)</f>
        <v>9.3292221899999994</v>
      </c>
      <c r="E48" s="3">
        <f t="shared" si="3"/>
        <v>84.289724944083332</v>
      </c>
      <c r="F48" s="3">
        <f t="shared" si="3"/>
        <v>9.4015424009999986</v>
      </c>
      <c r="G48" s="98">
        <f t="shared" si="0"/>
        <v>1.0545311739831382</v>
      </c>
      <c r="H48" s="42">
        <f t="shared" si="1"/>
        <v>9.4544212862929378</v>
      </c>
      <c r="I48" s="3"/>
      <c r="J48" s="102"/>
      <c r="K48" s="48" t="b">
        <f t="shared" si="2"/>
        <v>1</v>
      </c>
      <c r="L48" s="56"/>
    </row>
    <row r="49" spans="1:12" x14ac:dyDescent="0.3">
      <c r="A49" s="97">
        <v>37530</v>
      </c>
      <c r="B49" s="91">
        <f>946195777/(10^9)</f>
        <v>0.94619577700000002</v>
      </c>
      <c r="C49" s="91">
        <f>86102589712/(10^9)</f>
        <v>86.102589711999997</v>
      </c>
      <c r="D49" s="91">
        <f>9391877726/(10^9)</f>
        <v>9.3918777260000006</v>
      </c>
      <c r="E49" s="3">
        <f t="shared" si="3"/>
        <v>84.663046834833338</v>
      </c>
      <c r="F49" s="3">
        <f t="shared" si="3"/>
        <v>9.4178791501666659</v>
      </c>
      <c r="G49" s="98">
        <f t="shared" si="0"/>
        <v>1.1176018491820945</v>
      </c>
      <c r="H49" s="42">
        <f t="shared" si="1"/>
        <v>10.046803127466925</v>
      </c>
      <c r="I49" s="3"/>
      <c r="J49" s="102"/>
      <c r="K49" s="48" t="b">
        <f t="shared" si="2"/>
        <v>1</v>
      </c>
    </row>
    <row r="50" spans="1:12" x14ac:dyDescent="0.3">
      <c r="A50" s="97">
        <v>37561</v>
      </c>
      <c r="B50" s="91">
        <f>994734428/(10^9)</f>
        <v>0.994734428</v>
      </c>
      <c r="C50" s="91">
        <f>88113906580/(10^9)</f>
        <v>88.113906580000005</v>
      </c>
      <c r="D50" s="91">
        <f>9649568713/(10^9)</f>
        <v>9.6495687130000007</v>
      </c>
      <c r="E50" s="3">
        <f t="shared" si="3"/>
        <v>85.038677856166672</v>
      </c>
      <c r="F50" s="3">
        <f t="shared" si="3"/>
        <v>9.4345137563333328</v>
      </c>
      <c r="G50" s="98">
        <f t="shared" si="0"/>
        <v>1.1697435250374906</v>
      </c>
      <c r="H50" s="42">
        <f t="shared" si="1"/>
        <v>10.543568579061541</v>
      </c>
      <c r="I50" s="3"/>
      <c r="J50" s="102"/>
      <c r="K50" s="48" t="b">
        <f t="shared" si="2"/>
        <v>1</v>
      </c>
      <c r="L50" s="50"/>
    </row>
    <row r="51" spans="1:12" x14ac:dyDescent="0.3">
      <c r="A51" s="97">
        <v>37591</v>
      </c>
      <c r="B51" s="91">
        <f>925048109/(10^9)</f>
        <v>0.92504810900000001</v>
      </c>
      <c r="C51" s="91">
        <f>88943051496/(10^9)</f>
        <v>88.943051495999995</v>
      </c>
      <c r="D51" s="91">
        <f>9722655710/(10^9)</f>
        <v>9.7226557099999997</v>
      </c>
      <c r="E51" s="3">
        <f t="shared" si="3"/>
        <v>85.450524287500002</v>
      </c>
      <c r="F51" s="3">
        <f t="shared" si="3"/>
        <v>9.453181303416665</v>
      </c>
      <c r="G51" s="98">
        <f t="shared" si="0"/>
        <v>1.0825540471672908</v>
      </c>
      <c r="H51" s="42">
        <f t="shared" si="1"/>
        <v>9.7855746050872821</v>
      </c>
      <c r="I51" s="3"/>
      <c r="J51" s="102"/>
      <c r="K51" s="48" t="b">
        <f t="shared" si="2"/>
        <v>1</v>
      </c>
      <c r="L51" s="50"/>
    </row>
    <row r="52" spans="1:12" x14ac:dyDescent="0.3">
      <c r="A52" s="97">
        <v>37622</v>
      </c>
      <c r="B52" s="91">
        <f>973492843/(10^9)</f>
        <v>0.97349284300000005</v>
      </c>
      <c r="C52" s="91">
        <f>89147164597/(10^9)</f>
        <v>89.147164597</v>
      </c>
      <c r="D52" s="91">
        <f>9994135581/(10^9)</f>
        <v>9.9941355810000001</v>
      </c>
      <c r="E52" s="3">
        <f t="shared" ref="E52:F115" si="4">+AVERAGE(C41:C52)</f>
        <v>85.980468509000005</v>
      </c>
      <c r="F52" s="3">
        <f t="shared" si="4"/>
        <v>9.5116130212499996</v>
      </c>
      <c r="G52" s="98">
        <f t="shared" si="0"/>
        <v>1.1322255622485935</v>
      </c>
      <c r="H52" s="42">
        <f t="shared" si="1"/>
        <v>10.234781848516219</v>
      </c>
      <c r="I52" s="3"/>
      <c r="J52" s="102"/>
      <c r="K52" s="48" t="b">
        <f t="shared" si="2"/>
        <v>1</v>
      </c>
      <c r="L52" s="50"/>
    </row>
    <row r="53" spans="1:12" x14ac:dyDescent="0.3">
      <c r="A53" s="97">
        <v>37653</v>
      </c>
      <c r="B53" s="91">
        <f>1013292157/(10^9)</f>
        <v>1.013292157</v>
      </c>
      <c r="C53" s="91">
        <f>90193608099/(10^9)</f>
        <v>90.193608099000002</v>
      </c>
      <c r="D53" s="91">
        <f>10020626378/(10^9)</f>
        <v>10.020626377999999</v>
      </c>
      <c r="E53" s="3">
        <f t="shared" si="4"/>
        <v>86.540922032750004</v>
      </c>
      <c r="F53" s="3">
        <f t="shared" si="4"/>
        <v>9.576976705333335</v>
      </c>
      <c r="G53" s="98">
        <f t="shared" si="0"/>
        <v>1.1708820904595125</v>
      </c>
      <c r="H53" s="42">
        <f t="shared" si="1"/>
        <v>10.580501427300188</v>
      </c>
      <c r="I53" s="3"/>
      <c r="J53" s="102"/>
      <c r="K53" s="48" t="b">
        <f t="shared" si="2"/>
        <v>1</v>
      </c>
      <c r="L53" s="50"/>
    </row>
    <row r="54" spans="1:12" x14ac:dyDescent="0.3">
      <c r="A54" s="97">
        <v>37681</v>
      </c>
      <c r="B54" s="91">
        <f>1088200932/(10^9)</f>
        <v>1.0882009319999999</v>
      </c>
      <c r="C54" s="91">
        <f>90319486733/(10^9)</f>
        <v>90.319486733000005</v>
      </c>
      <c r="D54" s="91">
        <f>9720407920/(10^9)</f>
        <v>9.7204079199999995</v>
      </c>
      <c r="E54" s="3">
        <f t="shared" si="4"/>
        <v>87.101686419833342</v>
      </c>
      <c r="F54" s="3">
        <f t="shared" si="4"/>
        <v>9.6194424007499997</v>
      </c>
      <c r="G54" s="98">
        <f t="shared" si="0"/>
        <v>1.2493454222629299</v>
      </c>
      <c r="H54" s="42">
        <f t="shared" si="1"/>
        <v>11.312515701691359</v>
      </c>
      <c r="I54" s="3"/>
      <c r="J54" s="102"/>
      <c r="K54" s="48" t="b">
        <f t="shared" si="2"/>
        <v>1</v>
      </c>
      <c r="L54" s="50"/>
    </row>
    <row r="55" spans="1:12" x14ac:dyDescent="0.3">
      <c r="A55" s="97">
        <v>37712</v>
      </c>
      <c r="B55" s="91">
        <f>1120577173/(10^9)</f>
        <v>1.120577173</v>
      </c>
      <c r="C55" s="91">
        <f>90426680515/(10^9)</f>
        <v>90.426680515000001</v>
      </c>
      <c r="D55" s="91">
        <f>9897465580/(10^9)</f>
        <v>9.8974655800000004</v>
      </c>
      <c r="E55" s="3">
        <f t="shared" si="4"/>
        <v>87.578237973833339</v>
      </c>
      <c r="F55" s="3">
        <f t="shared" si="4"/>
        <v>9.6745532194166675</v>
      </c>
      <c r="G55" s="98">
        <f t="shared" si="0"/>
        <v>1.2795155496674946</v>
      </c>
      <c r="H55" s="42">
        <f t="shared" si="1"/>
        <v>11.582727879888244</v>
      </c>
      <c r="I55" s="3"/>
      <c r="J55" s="102"/>
      <c r="K55" s="48" t="b">
        <f t="shared" si="2"/>
        <v>1</v>
      </c>
      <c r="L55" s="50"/>
    </row>
    <row r="56" spans="1:12" x14ac:dyDescent="0.3">
      <c r="A56" s="97">
        <v>37742</v>
      </c>
      <c r="B56" s="91">
        <f>1127714058/(10^9)</f>
        <v>1.127714058</v>
      </c>
      <c r="C56" s="91">
        <f>91916484380/(10^9)</f>
        <v>91.91648438</v>
      </c>
      <c r="D56" s="91">
        <f>10215713675/(10^9)</f>
        <v>10.215713675</v>
      </c>
      <c r="E56" s="3">
        <f t="shared" si="4"/>
        <v>88.184811739249994</v>
      </c>
      <c r="F56" s="3">
        <f t="shared" si="4"/>
        <v>9.7264665106666666</v>
      </c>
      <c r="G56" s="98">
        <f t="shared" si="0"/>
        <v>1.2788075812130675</v>
      </c>
      <c r="H56" s="42">
        <f t="shared" si="1"/>
        <v>11.594283049895628</v>
      </c>
      <c r="I56" s="3"/>
      <c r="J56" s="102"/>
      <c r="K56" s="48" t="b">
        <f t="shared" si="2"/>
        <v>1</v>
      </c>
      <c r="L56" s="50"/>
    </row>
    <row r="57" spans="1:12" x14ac:dyDescent="0.3">
      <c r="A57" s="97">
        <v>37773</v>
      </c>
      <c r="B57" s="91">
        <f>1239137415/(10^9)</f>
        <v>1.2391374150000001</v>
      </c>
      <c r="C57" s="91">
        <f>92178448380/(10^9)</f>
        <v>92.178448380000006</v>
      </c>
      <c r="D57" s="91">
        <f>10359539615/(10^9)</f>
        <v>10.359539614999999</v>
      </c>
      <c r="E57" s="3">
        <f t="shared" si="4"/>
        <v>88.773834172833347</v>
      </c>
      <c r="F57" s="3">
        <f t="shared" si="4"/>
        <v>9.7934963953333334</v>
      </c>
      <c r="G57" s="98">
        <f t="shared" si="0"/>
        <v>1.3958363143215482</v>
      </c>
      <c r="H57" s="42">
        <f t="shared" si="1"/>
        <v>12.65265605846812</v>
      </c>
      <c r="I57" s="3"/>
      <c r="J57" s="102"/>
      <c r="K57" s="48" t="b">
        <f t="shared" si="2"/>
        <v>1</v>
      </c>
      <c r="L57" s="50"/>
    </row>
    <row r="58" spans="1:12" x14ac:dyDescent="0.3">
      <c r="A58" s="97">
        <v>37803</v>
      </c>
      <c r="B58" s="91">
        <f>1350861255/(10^9)</f>
        <v>1.3508612550000001</v>
      </c>
      <c r="C58" s="91">
        <f>91456245462/(10^9)</f>
        <v>91.456245461999998</v>
      </c>
      <c r="D58" s="91">
        <f>10588404825/(10^9)</f>
        <v>10.588404825</v>
      </c>
      <c r="E58" s="3">
        <f t="shared" si="4"/>
        <v>89.272788886000001</v>
      </c>
      <c r="F58" s="3">
        <f t="shared" si="4"/>
        <v>9.8692926550833331</v>
      </c>
      <c r="G58" s="98">
        <f t="shared" si="0"/>
        <v>1.5131836608409639</v>
      </c>
      <c r="H58" s="42">
        <f t="shared" si="1"/>
        <v>13.687518469768122</v>
      </c>
      <c r="I58" s="3"/>
      <c r="J58" s="102"/>
      <c r="K58" s="48" t="b">
        <f t="shared" si="2"/>
        <v>0</v>
      </c>
      <c r="L58" s="50"/>
    </row>
    <row r="59" spans="1:12" x14ac:dyDescent="0.3">
      <c r="A59" s="97">
        <v>37834</v>
      </c>
      <c r="B59" s="91">
        <f>1503854674/(10^9)</f>
        <v>1.5038546740000001</v>
      </c>
      <c r="C59" s="91">
        <f>92020732664/(10^9)</f>
        <v>92.020732663999993</v>
      </c>
      <c r="D59" s="91">
        <f>10643413850/(10^9)</f>
        <v>10.64341385</v>
      </c>
      <c r="E59" s="3">
        <f t="shared" si="4"/>
        <v>89.780438928750002</v>
      </c>
      <c r="F59" s="3">
        <f t="shared" si="4"/>
        <v>9.9610859802500009</v>
      </c>
      <c r="G59" s="98">
        <f t="shared" si="0"/>
        <v>1.6750360010975924</v>
      </c>
      <c r="H59" s="42">
        <f t="shared" si="1"/>
        <v>15.097296388985256</v>
      </c>
      <c r="I59" s="3"/>
      <c r="J59" s="102"/>
      <c r="K59" s="48" t="b">
        <f t="shared" si="2"/>
        <v>0</v>
      </c>
      <c r="L59" s="50"/>
    </row>
    <row r="60" spans="1:12" x14ac:dyDescent="0.3">
      <c r="A60" s="97">
        <v>37865</v>
      </c>
      <c r="B60" s="91">
        <f>1584731311/(10^9)</f>
        <v>1.5847313110000001</v>
      </c>
      <c r="C60" s="91">
        <f>92804998433/(10^9)</f>
        <v>92.804998432999994</v>
      </c>
      <c r="D60" s="91">
        <f>10647163231/(10^9)</f>
        <v>10.647163231</v>
      </c>
      <c r="E60" s="3">
        <f t="shared" si="4"/>
        <v>90.301949754250003</v>
      </c>
      <c r="F60" s="3">
        <f t="shared" si="4"/>
        <v>10.070914400333335</v>
      </c>
      <c r="G60" s="98">
        <f t="shared" si="0"/>
        <v>1.7549247998661466</v>
      </c>
      <c r="H60" s="42">
        <f t="shared" si="1"/>
        <v>15.735724165697878</v>
      </c>
      <c r="I60" s="3"/>
      <c r="J60" s="102"/>
      <c r="K60" s="48" t="b">
        <f t="shared" si="2"/>
        <v>0</v>
      </c>
      <c r="L60" s="50"/>
    </row>
    <row r="61" spans="1:12" x14ac:dyDescent="0.3">
      <c r="A61" s="97">
        <v>37895</v>
      </c>
      <c r="B61" s="91">
        <f>1607640510/(10^9)</f>
        <v>1.60764051</v>
      </c>
      <c r="C61" s="91">
        <f>93727113098/(10^9)</f>
        <v>93.727113098000004</v>
      </c>
      <c r="D61" s="91">
        <f>10847944749/(10^9)</f>
        <v>10.847944749</v>
      </c>
      <c r="E61" s="3">
        <f t="shared" si="4"/>
        <v>90.937326703083329</v>
      </c>
      <c r="F61" s="3">
        <f t="shared" si="4"/>
        <v>10.192253318916668</v>
      </c>
      <c r="G61" s="98">
        <f t="shared" si="0"/>
        <v>1.7678554761666323</v>
      </c>
      <c r="H61" s="42">
        <f t="shared" si="1"/>
        <v>15.773160847721901</v>
      </c>
      <c r="I61" s="3"/>
      <c r="J61" s="102"/>
      <c r="K61" s="48" t="b">
        <f t="shared" si="2"/>
        <v>0</v>
      </c>
      <c r="L61" s="50"/>
    </row>
    <row r="62" spans="1:12" x14ac:dyDescent="0.3">
      <c r="A62" s="97">
        <v>37926</v>
      </c>
      <c r="B62" s="91">
        <f>1587976044/(10^9)</f>
        <v>1.5879760439999999</v>
      </c>
      <c r="C62" s="91">
        <f>95773627362/(10^9)</f>
        <v>95.773627361999999</v>
      </c>
      <c r="D62" s="91">
        <f>10889991525/(10^9)</f>
        <v>10.889991524999999</v>
      </c>
      <c r="E62" s="3">
        <f t="shared" si="4"/>
        <v>91.575636768249993</v>
      </c>
      <c r="F62" s="3">
        <f t="shared" si="4"/>
        <v>10.295621886583334</v>
      </c>
      <c r="G62" s="98">
        <f t="shared" si="0"/>
        <v>1.7340595163085604</v>
      </c>
      <c r="H62" s="42">
        <f t="shared" si="1"/>
        <v>15.423799178846686</v>
      </c>
      <c r="I62" s="3"/>
      <c r="J62" s="102"/>
      <c r="K62" s="48" t="b">
        <f t="shared" si="2"/>
        <v>0</v>
      </c>
      <c r="L62" s="50"/>
    </row>
    <row r="63" spans="1:12" x14ac:dyDescent="0.3">
      <c r="A63" s="97">
        <v>37956</v>
      </c>
      <c r="B63" s="91">
        <f>1747023368/(10^9)</f>
        <v>1.747023368</v>
      </c>
      <c r="C63" s="91">
        <f>97303072273/(10^9)</f>
        <v>97.303072272999998</v>
      </c>
      <c r="D63" s="91">
        <f>11114187840/(10^9)</f>
        <v>11.11418784</v>
      </c>
      <c r="E63" s="3">
        <f t="shared" si="4"/>
        <v>92.272305166333311</v>
      </c>
      <c r="F63" s="3">
        <f t="shared" si="4"/>
        <v>10.411582897416666</v>
      </c>
      <c r="G63" s="98">
        <f t="shared" si="0"/>
        <v>1.8933344786940718</v>
      </c>
      <c r="H63" s="42">
        <f t="shared" si="1"/>
        <v>16.779613486374618</v>
      </c>
      <c r="I63" s="3"/>
      <c r="J63" s="102"/>
      <c r="K63" s="48" t="b">
        <f t="shared" si="2"/>
        <v>0</v>
      </c>
      <c r="L63" s="50"/>
    </row>
    <row r="64" spans="1:12" x14ac:dyDescent="0.3">
      <c r="A64" s="97">
        <v>37987</v>
      </c>
      <c r="B64" s="91">
        <f>1897901394/(10^9)</f>
        <v>1.897901394</v>
      </c>
      <c r="C64" s="91">
        <f>97559106437/(10^9)</f>
        <v>97.559106436999997</v>
      </c>
      <c r="D64" s="91">
        <f>11405550643/(10^9)</f>
        <v>11.405550643</v>
      </c>
      <c r="E64" s="3">
        <f t="shared" si="4"/>
        <v>92.973300319666677</v>
      </c>
      <c r="F64" s="3">
        <f t="shared" si="4"/>
        <v>10.529200819249999</v>
      </c>
      <c r="G64" s="98">
        <f t="shared" si="0"/>
        <v>2.0413402422787139</v>
      </c>
      <c r="H64" s="42">
        <f t="shared" si="1"/>
        <v>18.025122956437151</v>
      </c>
      <c r="I64" s="3"/>
      <c r="J64" s="102"/>
      <c r="K64" s="48" t="b">
        <f t="shared" si="2"/>
        <v>0</v>
      </c>
      <c r="L64" s="50"/>
    </row>
    <row r="65" spans="1:12" x14ac:dyDescent="0.3">
      <c r="A65" s="97">
        <v>38018</v>
      </c>
      <c r="B65" s="91">
        <f>2031694452/(10^9)</f>
        <v>2.031694452</v>
      </c>
      <c r="C65" s="91">
        <f>98453688402/(10^9)</f>
        <v>98.453688401999997</v>
      </c>
      <c r="D65" s="91">
        <f>11577540045/(10^9)</f>
        <v>11.577540044999999</v>
      </c>
      <c r="E65" s="3">
        <f t="shared" si="4"/>
        <v>93.661640344916648</v>
      </c>
      <c r="F65" s="3">
        <f t="shared" si="4"/>
        <v>10.658943624833334</v>
      </c>
      <c r="G65" s="98">
        <f t="shared" si="0"/>
        <v>2.1691852123431952</v>
      </c>
      <c r="H65" s="42">
        <f t="shared" si="1"/>
        <v>19.060936275772526</v>
      </c>
      <c r="I65" s="3"/>
      <c r="J65" s="102"/>
      <c r="K65" s="48" t="b">
        <f t="shared" si="2"/>
        <v>0</v>
      </c>
      <c r="L65" s="50"/>
    </row>
    <row r="66" spans="1:12" x14ac:dyDescent="0.3">
      <c r="A66" s="97">
        <v>38047</v>
      </c>
      <c r="B66" s="91">
        <f>2169775301/(10^9)</f>
        <v>2.169775301</v>
      </c>
      <c r="C66" s="91">
        <f>99976358801/(10^9)</f>
        <v>99.976358801000003</v>
      </c>
      <c r="D66" s="91">
        <f>11634339226/(10^9)</f>
        <v>11.634339226</v>
      </c>
      <c r="E66" s="3">
        <f t="shared" si="4"/>
        <v>94.466379683916671</v>
      </c>
      <c r="F66" s="3">
        <f t="shared" si="4"/>
        <v>10.818437900333334</v>
      </c>
      <c r="G66" s="98">
        <f t="shared" si="0"/>
        <v>2.2968756802791019</v>
      </c>
      <c r="H66" s="42">
        <f t="shared" si="1"/>
        <v>20.056271718610557</v>
      </c>
      <c r="I66" s="3"/>
      <c r="J66" s="102"/>
      <c r="K66" s="48" t="b">
        <f t="shared" si="2"/>
        <v>0</v>
      </c>
      <c r="L66" s="50"/>
    </row>
    <row r="67" spans="1:12" x14ac:dyDescent="0.3">
      <c r="A67" s="97">
        <v>38078</v>
      </c>
      <c r="B67" s="91">
        <f>2198473902/(10^9)</f>
        <v>2.1984739019999999</v>
      </c>
      <c r="C67" s="91">
        <f>100402620323/(10^9)</f>
        <v>100.40262032299999</v>
      </c>
      <c r="D67" s="91">
        <f>11693696619/(10^9)</f>
        <v>11.693696619000001</v>
      </c>
      <c r="E67" s="3">
        <f t="shared" si="4"/>
        <v>95.297708001249987</v>
      </c>
      <c r="F67" s="3">
        <f t="shared" si="4"/>
        <v>10.96812382025</v>
      </c>
      <c r="G67" s="98">
        <f t="shared" ref="G67:G130" si="5">+B67/E67*100</f>
        <v>2.3069535963773267</v>
      </c>
      <c r="H67" s="42">
        <f t="shared" ref="H67:H130" si="6">B67/F67*100</f>
        <v>20.044211188982448</v>
      </c>
      <c r="I67" s="3"/>
      <c r="J67" s="102"/>
      <c r="K67" s="48" t="b">
        <f t="shared" ref="K67:K130" si="7">+G67&lt;$G$231</f>
        <v>0</v>
      </c>
      <c r="L67" s="50"/>
    </row>
    <row r="68" spans="1:12" x14ac:dyDescent="0.3">
      <c r="A68" s="97">
        <v>38108</v>
      </c>
      <c r="B68" s="91">
        <f>2212539654/(10^9)</f>
        <v>2.212539654</v>
      </c>
      <c r="C68" s="91">
        <f>100457833095/(10^9)</f>
        <v>100.457833095</v>
      </c>
      <c r="D68" s="91">
        <f>11671032558/(10^9)</f>
        <v>11.671032558</v>
      </c>
      <c r="E68" s="3">
        <f t="shared" si="4"/>
        <v>96.009487060833337</v>
      </c>
      <c r="F68" s="3">
        <f t="shared" si="4"/>
        <v>11.089400393833332</v>
      </c>
      <c r="G68" s="98">
        <f t="shared" si="5"/>
        <v>2.3045010672727533</v>
      </c>
      <c r="H68" s="42">
        <f t="shared" si="6"/>
        <v>19.951842078227816</v>
      </c>
      <c r="I68" s="3"/>
      <c r="J68" s="102"/>
      <c r="K68" s="48" t="b">
        <f t="shared" si="7"/>
        <v>0</v>
      </c>
      <c r="L68" s="50"/>
    </row>
    <row r="69" spans="1:12" x14ac:dyDescent="0.3">
      <c r="A69" s="97">
        <v>38139</v>
      </c>
      <c r="B69" s="91">
        <f>2184537466/(10^9)</f>
        <v>2.1845374660000001</v>
      </c>
      <c r="C69" s="91">
        <f>102679542444/(10^9)</f>
        <v>102.67954244400001</v>
      </c>
      <c r="D69" s="91">
        <f>11859726901/(10^9)</f>
        <v>11.859726901</v>
      </c>
      <c r="E69" s="3">
        <f t="shared" si="4"/>
        <v>96.884578232833334</v>
      </c>
      <c r="F69" s="3">
        <f t="shared" si="4"/>
        <v>11.214416000999998</v>
      </c>
      <c r="G69" s="98">
        <f t="shared" si="5"/>
        <v>2.2547834813814354</v>
      </c>
      <c r="H69" s="42">
        <f t="shared" si="6"/>
        <v>19.479725612151388</v>
      </c>
      <c r="I69" s="3"/>
      <c r="J69" s="102"/>
      <c r="K69" s="48" t="b">
        <f t="shared" si="7"/>
        <v>0</v>
      </c>
      <c r="L69" s="50"/>
    </row>
    <row r="70" spans="1:12" x14ac:dyDescent="0.3">
      <c r="A70" s="97">
        <v>38169</v>
      </c>
      <c r="B70" s="91">
        <f>2206728266/(10^9)</f>
        <v>2.2067282659999998</v>
      </c>
      <c r="C70" s="91">
        <f>103235322016/(10^9)</f>
        <v>103.235322016</v>
      </c>
      <c r="D70" s="91">
        <f>12086869367/(10^9)</f>
        <v>12.086869367</v>
      </c>
      <c r="E70" s="3">
        <f t="shared" si="4"/>
        <v>97.866167945666646</v>
      </c>
      <c r="F70" s="3">
        <f t="shared" si="4"/>
        <v>11.339288046166667</v>
      </c>
      <c r="G70" s="98">
        <f t="shared" si="5"/>
        <v>2.2548428249741339</v>
      </c>
      <c r="H70" s="42">
        <f t="shared" si="6"/>
        <v>19.460906690222064</v>
      </c>
      <c r="I70" s="3"/>
      <c r="J70" s="102"/>
      <c r="K70" s="48" t="b">
        <f t="shared" si="7"/>
        <v>0</v>
      </c>
      <c r="L70" s="50"/>
    </row>
    <row r="71" spans="1:12" x14ac:dyDescent="0.3">
      <c r="A71" s="97">
        <v>38200</v>
      </c>
      <c r="B71" s="91">
        <f>2326347143/(10^9)</f>
        <v>2.326347143</v>
      </c>
      <c r="C71" s="91">
        <f>105652585481/(10^9)</f>
        <v>105.652585481</v>
      </c>
      <c r="D71" s="91">
        <f>12421091926/(10^9)</f>
        <v>12.421091926000001</v>
      </c>
      <c r="E71" s="3">
        <f t="shared" si="4"/>
        <v>99.002155680416649</v>
      </c>
      <c r="F71" s="3">
        <f t="shared" si="4"/>
        <v>11.487427885833334</v>
      </c>
      <c r="G71" s="98">
        <f t="shared" si="5"/>
        <v>2.3497944332743135</v>
      </c>
      <c r="H71" s="42">
        <f t="shared" si="6"/>
        <v>20.251244805366099</v>
      </c>
      <c r="I71" s="3"/>
      <c r="J71" s="102"/>
      <c r="K71" s="48" t="b">
        <f t="shared" si="7"/>
        <v>0</v>
      </c>
      <c r="L71" s="50"/>
    </row>
    <row r="72" spans="1:12" x14ac:dyDescent="0.3">
      <c r="A72" s="97">
        <v>38231</v>
      </c>
      <c r="B72" s="91">
        <f>2479786834/(10^9)</f>
        <v>2.479786834</v>
      </c>
      <c r="C72" s="91">
        <f>107020319839/(10^9)</f>
        <v>107.020319839</v>
      </c>
      <c r="D72" s="91">
        <f>12593347270/(10^9)</f>
        <v>12.593347270000001</v>
      </c>
      <c r="E72" s="3">
        <f t="shared" si="4"/>
        <v>100.18676579758331</v>
      </c>
      <c r="F72" s="3">
        <f t="shared" si="4"/>
        <v>11.649609889083335</v>
      </c>
      <c r="G72" s="98">
        <f t="shared" si="5"/>
        <v>2.4751640740755572</v>
      </c>
      <c r="H72" s="42">
        <f t="shared" si="6"/>
        <v>21.286436692818093</v>
      </c>
      <c r="I72" s="3"/>
      <c r="J72" s="102"/>
      <c r="K72" s="48" t="b">
        <f t="shared" si="7"/>
        <v>0</v>
      </c>
      <c r="L72" s="50"/>
    </row>
    <row r="73" spans="1:12" x14ac:dyDescent="0.3">
      <c r="A73" s="97">
        <v>38261</v>
      </c>
      <c r="B73" s="91">
        <f>2552824768/(10^9)</f>
        <v>2.5528247679999998</v>
      </c>
      <c r="C73" s="91">
        <f>109405981985/(10^9)</f>
        <v>109.405981985</v>
      </c>
      <c r="D73" s="91">
        <f>12919348339/(10^9)</f>
        <v>12.919348339000001</v>
      </c>
      <c r="E73" s="3">
        <f t="shared" si="4"/>
        <v>101.49333820483332</v>
      </c>
      <c r="F73" s="3">
        <f t="shared" si="4"/>
        <v>11.82222685491667</v>
      </c>
      <c r="G73" s="98">
        <f t="shared" si="5"/>
        <v>2.5152633790090757</v>
      </c>
      <c r="H73" s="42">
        <f t="shared" si="6"/>
        <v>21.593434124792843</v>
      </c>
      <c r="I73" s="3"/>
      <c r="J73" s="102"/>
      <c r="K73" s="48" t="b">
        <f t="shared" si="7"/>
        <v>0</v>
      </c>
      <c r="L73" s="50"/>
    </row>
    <row r="74" spans="1:12" x14ac:dyDescent="0.3">
      <c r="A74" s="97">
        <v>38292</v>
      </c>
      <c r="B74" s="91">
        <f>2707947152/(10^9)</f>
        <v>2.707947152</v>
      </c>
      <c r="C74" s="91">
        <f>111837007570/(10^9)</f>
        <v>111.83700757</v>
      </c>
      <c r="D74" s="91">
        <f>13340333371/(10^9)</f>
        <v>13.340333371</v>
      </c>
      <c r="E74" s="3">
        <f t="shared" si="4"/>
        <v>102.83195322216665</v>
      </c>
      <c r="F74" s="3">
        <f t="shared" si="4"/>
        <v>12.026422008749998</v>
      </c>
      <c r="G74" s="98">
        <f t="shared" si="5"/>
        <v>2.6333713083807009</v>
      </c>
      <c r="H74" s="42">
        <f t="shared" si="6"/>
        <v>22.5166483433709</v>
      </c>
      <c r="I74" s="3"/>
      <c r="J74" s="102"/>
      <c r="K74" s="48" t="b">
        <f t="shared" si="7"/>
        <v>0</v>
      </c>
      <c r="L74" s="50"/>
    </row>
    <row r="75" spans="1:12" x14ac:dyDescent="0.3">
      <c r="A75" s="97">
        <v>38322</v>
      </c>
      <c r="B75" s="91">
        <f>2833095233/(10^9)</f>
        <v>2.8330952329999999</v>
      </c>
      <c r="C75" s="91">
        <f>114882787681/(10^9)</f>
        <v>114.882787681</v>
      </c>
      <c r="D75" s="91">
        <f>13754315084/(10^9)</f>
        <v>13.754315084</v>
      </c>
      <c r="E75" s="3">
        <f t="shared" si="4"/>
        <v>104.29692950616665</v>
      </c>
      <c r="F75" s="3">
        <f t="shared" si="4"/>
        <v>12.246432612416667</v>
      </c>
      <c r="G75" s="98">
        <f t="shared" si="5"/>
        <v>2.7163745341443541</v>
      </c>
      <c r="H75" s="42">
        <f t="shared" si="6"/>
        <v>23.134045012647377</v>
      </c>
      <c r="I75" s="3"/>
      <c r="J75" s="102"/>
      <c r="K75" s="48" t="b">
        <f t="shared" si="7"/>
        <v>0</v>
      </c>
      <c r="L75" s="50"/>
    </row>
    <row r="76" spans="1:12" x14ac:dyDescent="0.3">
      <c r="A76" s="97">
        <v>38353</v>
      </c>
      <c r="B76" s="91">
        <f>2825089436/(10^9)</f>
        <v>2.8250894359999998</v>
      </c>
      <c r="C76" s="91">
        <f>115495209126/(10^9)</f>
        <v>115.49520912600001</v>
      </c>
      <c r="D76" s="91">
        <f>14032835675/(10^9)</f>
        <v>14.032835674999999</v>
      </c>
      <c r="E76" s="3">
        <f t="shared" si="4"/>
        <v>105.79160473025001</v>
      </c>
      <c r="F76" s="3">
        <f t="shared" si="4"/>
        <v>12.46537303175</v>
      </c>
      <c r="G76" s="98">
        <f t="shared" si="5"/>
        <v>2.6704287577482928</v>
      </c>
      <c r="H76" s="42">
        <f t="shared" si="6"/>
        <v>22.663496943126692</v>
      </c>
      <c r="I76" s="3"/>
      <c r="J76" s="102"/>
      <c r="K76" s="48" t="b">
        <f t="shared" si="7"/>
        <v>0</v>
      </c>
      <c r="L76" s="50"/>
    </row>
    <row r="77" spans="1:12" x14ac:dyDescent="0.3">
      <c r="A77" s="97">
        <v>38384</v>
      </c>
      <c r="B77" s="91">
        <f>2896879820/(10^9)</f>
        <v>2.8968798200000001</v>
      </c>
      <c r="C77" s="91">
        <f>114760333576/(10^9)</f>
        <v>114.76033357599999</v>
      </c>
      <c r="D77" s="91">
        <f>14272032606/(10^9)</f>
        <v>14.272032606</v>
      </c>
      <c r="E77" s="3">
        <f t="shared" si="4"/>
        <v>107.15049182808333</v>
      </c>
      <c r="F77" s="3">
        <f t="shared" si="4"/>
        <v>12.689914078500001</v>
      </c>
      <c r="G77" s="98">
        <f t="shared" si="5"/>
        <v>2.7035618507919437</v>
      </c>
      <c r="H77" s="42">
        <f t="shared" si="6"/>
        <v>22.828206732369168</v>
      </c>
      <c r="I77" s="3"/>
      <c r="J77" s="102"/>
      <c r="K77" s="48" t="b">
        <f t="shared" si="7"/>
        <v>0</v>
      </c>
      <c r="L77" s="50"/>
    </row>
    <row r="78" spans="1:12" x14ac:dyDescent="0.3">
      <c r="A78" s="97">
        <v>38412</v>
      </c>
      <c r="B78" s="91">
        <f>2758670947/(10^9)</f>
        <v>2.7586709470000002</v>
      </c>
      <c r="C78" s="91">
        <f>115271077587/(10^9)</f>
        <v>115.27107758699999</v>
      </c>
      <c r="D78" s="91">
        <f>13590004617/(10^9)</f>
        <v>13.590004617</v>
      </c>
      <c r="E78" s="3">
        <f t="shared" si="4"/>
        <v>108.42505172691666</v>
      </c>
      <c r="F78" s="3">
        <f t="shared" si="4"/>
        <v>12.852886194416667</v>
      </c>
      <c r="G78" s="98">
        <f t="shared" si="5"/>
        <v>2.5443113958092365</v>
      </c>
      <c r="H78" s="42">
        <f t="shared" si="6"/>
        <v>21.463435568256841</v>
      </c>
      <c r="I78" s="3"/>
      <c r="J78" s="102"/>
      <c r="K78" s="48" t="b">
        <f t="shared" si="7"/>
        <v>0</v>
      </c>
      <c r="L78" s="50"/>
    </row>
    <row r="79" spans="1:12" x14ac:dyDescent="0.3">
      <c r="A79" s="97">
        <v>38443</v>
      </c>
      <c r="B79" s="91">
        <f>2941908327/(10^9)</f>
        <v>2.9419083270000002</v>
      </c>
      <c r="C79" s="91">
        <f>118133961869/(10^9)</f>
        <v>118.133961869</v>
      </c>
      <c r="D79" s="91">
        <f>14021437024/(10^9)</f>
        <v>14.021437024000001</v>
      </c>
      <c r="E79" s="3">
        <f t="shared" si="4"/>
        <v>109.90266352241666</v>
      </c>
      <c r="F79" s="3">
        <f t="shared" si="4"/>
        <v>13.046864561500001</v>
      </c>
      <c r="G79" s="98">
        <f t="shared" si="5"/>
        <v>2.6768307816306418</v>
      </c>
      <c r="H79" s="42">
        <f t="shared" si="6"/>
        <v>22.548776475240487</v>
      </c>
      <c r="I79" s="3"/>
      <c r="J79" s="102"/>
      <c r="K79" s="48" t="b">
        <f t="shared" si="7"/>
        <v>0</v>
      </c>
      <c r="L79" s="50"/>
    </row>
    <row r="80" spans="1:12" x14ac:dyDescent="0.3">
      <c r="A80" s="97">
        <v>38473</v>
      </c>
      <c r="B80" s="91">
        <f>3064297272/(10^9)</f>
        <v>3.0642972720000001</v>
      </c>
      <c r="C80" s="91">
        <f>119394655677/(10^9)</f>
        <v>119.394655677</v>
      </c>
      <c r="D80" s="91">
        <f>14381232153/(10^9)</f>
        <v>14.381232152999999</v>
      </c>
      <c r="E80" s="3">
        <f t="shared" si="4"/>
        <v>111.48073207091664</v>
      </c>
      <c r="F80" s="3">
        <f t="shared" si="4"/>
        <v>13.272714527750002</v>
      </c>
      <c r="G80" s="98">
        <f t="shared" si="5"/>
        <v>2.7487236718634906</v>
      </c>
      <c r="H80" s="42">
        <f t="shared" si="6"/>
        <v>23.087193396597986</v>
      </c>
      <c r="I80" s="3"/>
      <c r="J80" s="102"/>
      <c r="K80" s="48" t="b">
        <f t="shared" si="7"/>
        <v>0</v>
      </c>
      <c r="L80" s="50"/>
    </row>
    <row r="81" spans="1:12" x14ac:dyDescent="0.3">
      <c r="A81" s="97">
        <v>38504</v>
      </c>
      <c r="B81" s="91">
        <f>3277112413/(10^9)</f>
        <v>3.2771124129999998</v>
      </c>
      <c r="C81" s="91">
        <f>121838313604/(10^9)</f>
        <v>121.83831360400001</v>
      </c>
      <c r="D81" s="91">
        <f>14976482257/(10^9)</f>
        <v>14.976482257000001</v>
      </c>
      <c r="E81" s="3">
        <f t="shared" si="4"/>
        <v>113.07729633424998</v>
      </c>
      <c r="F81" s="3">
        <f t="shared" si="4"/>
        <v>13.532444140750002</v>
      </c>
      <c r="G81" s="98">
        <f t="shared" si="5"/>
        <v>2.8981170573030361</v>
      </c>
      <c r="H81" s="42">
        <f t="shared" si="6"/>
        <v>24.216707483991684</v>
      </c>
      <c r="I81" s="3"/>
      <c r="J81" s="102"/>
      <c r="K81" s="48" t="b">
        <f t="shared" si="7"/>
        <v>0</v>
      </c>
      <c r="L81" s="50"/>
    </row>
    <row r="82" spans="1:12" x14ac:dyDescent="0.3">
      <c r="A82" s="97">
        <v>38534</v>
      </c>
      <c r="B82" s="91">
        <f>3324134460/(10^9)</f>
        <v>3.3241344599999998</v>
      </c>
      <c r="C82" s="91">
        <f>121686199607/(10^9)</f>
        <v>121.68619960700001</v>
      </c>
      <c r="D82" s="91">
        <f>14514248313/(10^9)</f>
        <v>14.514248313</v>
      </c>
      <c r="E82" s="3">
        <f t="shared" si="4"/>
        <v>114.61486946683333</v>
      </c>
      <c r="F82" s="3">
        <f t="shared" si="4"/>
        <v>13.734725719583333</v>
      </c>
      <c r="G82" s="98">
        <f t="shared" si="5"/>
        <v>2.9002645777666056</v>
      </c>
      <c r="H82" s="42">
        <f t="shared" si="6"/>
        <v>24.20240875476939</v>
      </c>
      <c r="I82" s="3"/>
      <c r="J82" s="102"/>
      <c r="K82" s="48" t="b">
        <f t="shared" si="7"/>
        <v>0</v>
      </c>
      <c r="L82" s="50"/>
    </row>
    <row r="83" spans="1:12" x14ac:dyDescent="0.3">
      <c r="A83" s="97">
        <v>38565</v>
      </c>
      <c r="B83" s="91">
        <f>3378530633/(10^9)</f>
        <v>3.378530633</v>
      </c>
      <c r="C83" s="91">
        <f>122427279481/(10^9)</f>
        <v>122.427279481</v>
      </c>
      <c r="D83" s="91">
        <f>14750275690/(10^9)</f>
        <v>14.75027569</v>
      </c>
      <c r="E83" s="3">
        <f t="shared" si="4"/>
        <v>116.01276063349998</v>
      </c>
      <c r="F83" s="3">
        <f t="shared" si="4"/>
        <v>13.928824366583333</v>
      </c>
      <c r="G83" s="98">
        <f t="shared" si="5"/>
        <v>2.9122060491890505</v>
      </c>
      <c r="H83" s="42">
        <f t="shared" si="6"/>
        <v>24.255676890473531</v>
      </c>
      <c r="I83" s="3"/>
      <c r="J83" s="102"/>
      <c r="K83" s="48" t="b">
        <f t="shared" si="7"/>
        <v>0</v>
      </c>
      <c r="L83" s="50"/>
    </row>
    <row r="84" spans="1:12" x14ac:dyDescent="0.3">
      <c r="A84" s="97">
        <v>38596</v>
      </c>
      <c r="B84" s="91">
        <f>3546218561/(10^9)</f>
        <v>3.5462185609999999</v>
      </c>
      <c r="C84" s="91">
        <f>125141288557/(10^9)</f>
        <v>125.141288557</v>
      </c>
      <c r="D84" s="91">
        <f>15669052346/(10^9)</f>
        <v>15.669052346000001</v>
      </c>
      <c r="E84" s="3">
        <f t="shared" si="4"/>
        <v>117.52284135999999</v>
      </c>
      <c r="F84" s="3">
        <f t="shared" si="4"/>
        <v>14.185133122916668</v>
      </c>
      <c r="G84" s="98">
        <f t="shared" si="5"/>
        <v>3.0174717697107933</v>
      </c>
      <c r="H84" s="42">
        <f t="shared" si="6"/>
        <v>24.999543749582003</v>
      </c>
      <c r="I84" s="3"/>
      <c r="J84" s="102"/>
      <c r="K84" s="48" t="b">
        <f t="shared" si="7"/>
        <v>0</v>
      </c>
      <c r="L84" s="50"/>
    </row>
    <row r="85" spans="1:12" x14ac:dyDescent="0.3">
      <c r="A85" s="97">
        <v>38626</v>
      </c>
      <c r="B85" s="91">
        <f>3538586483/(10^9)</f>
        <v>3.538586483</v>
      </c>
      <c r="C85" s="91">
        <f>127268537821/(10^9)</f>
        <v>127.268537821</v>
      </c>
      <c r="D85" s="91">
        <f>15904877252/(10^9)</f>
        <v>15.904877252</v>
      </c>
      <c r="E85" s="3">
        <f t="shared" si="4"/>
        <v>119.01138767966665</v>
      </c>
      <c r="F85" s="3">
        <f t="shared" si="4"/>
        <v>14.433927199000001</v>
      </c>
      <c r="G85" s="98">
        <f t="shared" si="5"/>
        <v>2.9733175555641176</v>
      </c>
      <c r="H85" s="42">
        <f t="shared" si="6"/>
        <v>24.515756759845356</v>
      </c>
      <c r="I85" s="3"/>
      <c r="J85" s="102"/>
      <c r="K85" s="48" t="b">
        <f t="shared" si="7"/>
        <v>0</v>
      </c>
      <c r="L85" s="50"/>
    </row>
    <row r="86" spans="1:12" x14ac:dyDescent="0.3">
      <c r="A86" s="97">
        <v>38657</v>
      </c>
      <c r="B86" s="91">
        <f>3498953155/(10^9)</f>
        <v>3.4989531550000001</v>
      </c>
      <c r="C86" s="91">
        <f>130376425078/(10^9)</f>
        <v>130.37642507800001</v>
      </c>
      <c r="D86" s="91">
        <f>16376687146/(10^9)</f>
        <v>16.376687145999998</v>
      </c>
      <c r="E86" s="3">
        <f t="shared" si="4"/>
        <v>120.55633913866666</v>
      </c>
      <c r="F86" s="3">
        <f t="shared" si="4"/>
        <v>14.686956680249999</v>
      </c>
      <c r="G86" s="98">
        <f t="shared" si="5"/>
        <v>2.9023385912336175</v>
      </c>
      <c r="H86" s="42">
        <f t="shared" si="6"/>
        <v>23.823541058748745</v>
      </c>
      <c r="I86" s="3"/>
      <c r="J86" s="102"/>
      <c r="K86" s="48" t="b">
        <f t="shared" si="7"/>
        <v>0</v>
      </c>
      <c r="L86" s="50"/>
    </row>
    <row r="87" spans="1:12" x14ac:dyDescent="0.3">
      <c r="A87" s="97">
        <v>38687</v>
      </c>
      <c r="B87" s="91">
        <f>3422085151/(10^9)</f>
        <v>3.4220851510000001</v>
      </c>
      <c r="C87" s="91">
        <f>134865454789/(10^9)</f>
        <v>134.86545478900001</v>
      </c>
      <c r="D87" s="91">
        <f>16673180335/(10^9)</f>
        <v>16.673180335000001</v>
      </c>
      <c r="E87" s="3">
        <f t="shared" si="4"/>
        <v>122.22156139766669</v>
      </c>
      <c r="F87" s="3">
        <f t="shared" si="4"/>
        <v>14.930195451166666</v>
      </c>
      <c r="G87" s="98">
        <f t="shared" si="5"/>
        <v>2.799902989183487</v>
      </c>
      <c r="H87" s="42">
        <f t="shared" si="6"/>
        <v>22.920564986525971</v>
      </c>
      <c r="I87" s="3"/>
      <c r="J87" s="102"/>
      <c r="K87" s="48" t="b">
        <f t="shared" si="7"/>
        <v>0</v>
      </c>
      <c r="L87" s="50"/>
    </row>
    <row r="88" spans="1:12" x14ac:dyDescent="0.3">
      <c r="A88" s="97">
        <v>38718</v>
      </c>
      <c r="B88" s="91">
        <f>3457551347/(10^9)</f>
        <v>3.4575513469999999</v>
      </c>
      <c r="C88" s="91">
        <f>135502304297/(10^9)</f>
        <v>135.50230429699999</v>
      </c>
      <c r="D88" s="91">
        <f>17437481406/(10^9)</f>
        <v>17.437481406</v>
      </c>
      <c r="E88" s="3">
        <f t="shared" si="4"/>
        <v>123.88881932858334</v>
      </c>
      <c r="F88" s="3">
        <f t="shared" si="4"/>
        <v>15.21391592875</v>
      </c>
      <c r="G88" s="98">
        <f t="shared" si="5"/>
        <v>2.7908501878847769</v>
      </c>
      <c r="H88" s="42">
        <f t="shared" si="6"/>
        <v>22.726241969473524</v>
      </c>
      <c r="I88" s="3"/>
      <c r="J88" s="102"/>
      <c r="K88" s="48" t="b">
        <f t="shared" si="7"/>
        <v>0</v>
      </c>
      <c r="L88" s="50"/>
    </row>
    <row r="89" spans="1:12" x14ac:dyDescent="0.3">
      <c r="A89" s="97">
        <v>38749</v>
      </c>
      <c r="B89" s="91">
        <f>3461162798/(10^9)</f>
        <v>3.4611627980000002</v>
      </c>
      <c r="C89" s="91">
        <f>136700719272/(10^9)</f>
        <v>136.70071927199999</v>
      </c>
      <c r="D89" s="91">
        <f>17717330200/(10^9)</f>
        <v>17.717330199999999</v>
      </c>
      <c r="E89" s="3">
        <f t="shared" si="4"/>
        <v>125.71718480325001</v>
      </c>
      <c r="F89" s="3">
        <f t="shared" si="4"/>
        <v>15.501024061583331</v>
      </c>
      <c r="G89" s="98">
        <f t="shared" si="5"/>
        <v>2.7531341903788182</v>
      </c>
      <c r="H89" s="42">
        <f t="shared" si="6"/>
        <v>22.328607350387301</v>
      </c>
      <c r="I89" s="3"/>
      <c r="J89" s="102"/>
      <c r="K89" s="48" t="b">
        <f t="shared" si="7"/>
        <v>0</v>
      </c>
      <c r="L89" s="50"/>
    </row>
    <row r="90" spans="1:12" x14ac:dyDescent="0.3">
      <c r="A90" s="97">
        <v>38777</v>
      </c>
      <c r="B90" s="91">
        <f>3706247305/(10^9)</f>
        <v>3.7062473050000002</v>
      </c>
      <c r="C90" s="91">
        <f>138378933393/(10^9)</f>
        <v>138.37893339300001</v>
      </c>
      <c r="D90" s="91">
        <f>16937008233/(10^9)</f>
        <v>16.937008233</v>
      </c>
      <c r="E90" s="3">
        <f t="shared" si="4"/>
        <v>127.64283945375</v>
      </c>
      <c r="F90" s="3">
        <f t="shared" si="4"/>
        <v>15.779941029583332</v>
      </c>
      <c r="G90" s="98">
        <f t="shared" si="5"/>
        <v>2.9036076922614362</v>
      </c>
      <c r="H90" s="42">
        <f t="shared" si="6"/>
        <v>23.487079565454266</v>
      </c>
      <c r="I90" s="3"/>
      <c r="J90" s="102"/>
      <c r="K90" s="48" t="b">
        <f t="shared" si="7"/>
        <v>0</v>
      </c>
      <c r="L90" s="50"/>
    </row>
    <row r="91" spans="1:12" x14ac:dyDescent="0.3">
      <c r="A91" s="97">
        <v>38808</v>
      </c>
      <c r="B91" s="91">
        <f>3622669059/(10^9)</f>
        <v>3.6226690590000001</v>
      </c>
      <c r="C91" s="91">
        <f>139227960198/(10^9)</f>
        <v>139.22796019800001</v>
      </c>
      <c r="D91" s="91">
        <f>16988391980/(10^9)</f>
        <v>16.988391979999999</v>
      </c>
      <c r="E91" s="3">
        <f t="shared" si="4"/>
        <v>129.40067264783332</v>
      </c>
      <c r="F91" s="3">
        <f t="shared" si="4"/>
        <v>16.027187275916663</v>
      </c>
      <c r="G91" s="98">
        <f t="shared" si="5"/>
        <v>2.7995751373404145</v>
      </c>
      <c r="H91" s="42">
        <f t="shared" si="6"/>
        <v>22.603274028273336</v>
      </c>
      <c r="I91" s="3"/>
      <c r="J91" s="102"/>
      <c r="K91" s="48" t="b">
        <f t="shared" si="7"/>
        <v>0</v>
      </c>
      <c r="L91" s="50"/>
    </row>
    <row r="92" spans="1:12" x14ac:dyDescent="0.3">
      <c r="A92" s="97">
        <v>38838</v>
      </c>
      <c r="B92" s="91">
        <f>3428286384/(10^9)</f>
        <v>3.4282863840000002</v>
      </c>
      <c r="C92" s="91">
        <f>139699967711/(10^9)</f>
        <v>139.699967711</v>
      </c>
      <c r="D92" s="91">
        <f>15979633733/(10^9)</f>
        <v>15.979633733</v>
      </c>
      <c r="E92" s="3">
        <f t="shared" si="4"/>
        <v>131.09278198399997</v>
      </c>
      <c r="F92" s="3">
        <f t="shared" si="4"/>
        <v>16.160387407583332</v>
      </c>
      <c r="G92" s="98">
        <f t="shared" si="5"/>
        <v>2.6151602949569157</v>
      </c>
      <c r="H92" s="42">
        <f t="shared" si="6"/>
        <v>21.214134893766605</v>
      </c>
      <c r="I92" s="3"/>
      <c r="J92" s="102"/>
      <c r="K92" s="48" t="b">
        <f t="shared" si="7"/>
        <v>0</v>
      </c>
      <c r="L92" s="50"/>
    </row>
    <row r="93" spans="1:12" x14ac:dyDescent="0.3">
      <c r="A93" s="97">
        <v>38869</v>
      </c>
      <c r="B93" s="91">
        <f>3132534948.96/(10^9)</f>
        <v>3.1325349489600001</v>
      </c>
      <c r="C93" s="91">
        <f>144086229664.69/(10^9)</f>
        <v>144.08622966468999</v>
      </c>
      <c r="D93" s="91">
        <f>15986652417.05/(10^9)</f>
        <v>15.986652417049999</v>
      </c>
      <c r="E93" s="3">
        <f t="shared" si="4"/>
        <v>132.9467749890575</v>
      </c>
      <c r="F93" s="3">
        <f t="shared" si="4"/>
        <v>16.244568254254165</v>
      </c>
      <c r="G93" s="98">
        <f t="shared" si="5"/>
        <v>2.3562323713514908</v>
      </c>
      <c r="H93" s="42">
        <f t="shared" si="6"/>
        <v>19.283583902820219</v>
      </c>
      <c r="I93" s="3"/>
      <c r="J93" s="102"/>
      <c r="K93" s="48" t="b">
        <f t="shared" si="7"/>
        <v>0</v>
      </c>
      <c r="L93" s="50"/>
    </row>
    <row r="94" spans="1:12" x14ac:dyDescent="0.3">
      <c r="A94" s="97">
        <v>38899</v>
      </c>
      <c r="B94" s="91">
        <f>3140239693.37/(10^9)</f>
        <v>3.1402396933699999</v>
      </c>
      <c r="C94" s="91">
        <f>144484892093.57/(10^9)</f>
        <v>144.48489209357001</v>
      </c>
      <c r="D94" s="91">
        <f>16909233142.5/(10^9)</f>
        <v>16.9092331425</v>
      </c>
      <c r="E94" s="3">
        <f t="shared" si="4"/>
        <v>134.84666602960499</v>
      </c>
      <c r="F94" s="3">
        <f t="shared" si="4"/>
        <v>16.444150323379166</v>
      </c>
      <c r="G94" s="98">
        <f t="shared" si="5"/>
        <v>2.3287484858398901</v>
      </c>
      <c r="H94" s="42">
        <f t="shared" si="6"/>
        <v>19.096393742554287</v>
      </c>
      <c r="I94" s="3"/>
      <c r="J94" s="102"/>
      <c r="K94" s="48" t="b">
        <f t="shared" si="7"/>
        <v>0</v>
      </c>
      <c r="L94" s="50"/>
    </row>
    <row r="95" spans="1:12" x14ac:dyDescent="0.3">
      <c r="A95" s="97">
        <v>38930</v>
      </c>
      <c r="B95" s="91">
        <f>3239308425.17/(10^9)</f>
        <v>3.2393084251699999</v>
      </c>
      <c r="C95" s="91">
        <f>146753770629.93/(10^9)</f>
        <v>146.75377062992999</v>
      </c>
      <c r="D95" s="91">
        <f>17690466124.67/(10^9)</f>
        <v>17.690466124669999</v>
      </c>
      <c r="E95" s="3">
        <f t="shared" si="4"/>
        <v>136.87387362534915</v>
      </c>
      <c r="F95" s="3">
        <f t="shared" si="4"/>
        <v>16.689166192935001</v>
      </c>
      <c r="G95" s="98">
        <f t="shared" si="5"/>
        <v>2.3666375031049589</v>
      </c>
      <c r="H95" s="42">
        <f t="shared" si="6"/>
        <v>19.409648077812847</v>
      </c>
      <c r="I95" s="3"/>
      <c r="J95" s="102"/>
      <c r="K95" s="48" t="b">
        <f t="shared" si="7"/>
        <v>0</v>
      </c>
      <c r="L95" s="50"/>
    </row>
    <row r="96" spans="1:12" x14ac:dyDescent="0.3">
      <c r="A96" s="97">
        <v>38961</v>
      </c>
      <c r="B96" s="91">
        <f>3001624060.82/(10^9)</f>
        <v>3.0016240608200002</v>
      </c>
      <c r="C96" s="91">
        <f>146730304800.77/(10^9)</f>
        <v>146.73030480077</v>
      </c>
      <c r="D96" s="91">
        <f>17159347842.02/(10^9)</f>
        <v>17.159347842020001</v>
      </c>
      <c r="E96" s="3">
        <f t="shared" si="4"/>
        <v>138.67295831233</v>
      </c>
      <c r="F96" s="3">
        <f t="shared" si="4"/>
        <v>16.81335748427</v>
      </c>
      <c r="G96" s="98">
        <f t="shared" si="5"/>
        <v>2.1645345259452169</v>
      </c>
      <c r="H96" s="42">
        <f t="shared" si="6"/>
        <v>17.852615479259374</v>
      </c>
      <c r="I96" s="3"/>
      <c r="J96" s="102"/>
      <c r="K96" s="48" t="b">
        <f t="shared" si="7"/>
        <v>0</v>
      </c>
      <c r="L96" s="50"/>
    </row>
    <row r="97" spans="1:12" x14ac:dyDescent="0.3">
      <c r="A97" s="97">
        <v>38991</v>
      </c>
      <c r="B97" s="91">
        <f>3521785762.67/(10^9)</f>
        <v>3.52178576267</v>
      </c>
      <c r="C97" s="91">
        <f>149413725217.9/(10^9)</f>
        <v>149.41372521789998</v>
      </c>
      <c r="D97" s="91">
        <f>17666455634.13/(10^9)</f>
        <v>17.666455634130003</v>
      </c>
      <c r="E97" s="3">
        <f t="shared" si="4"/>
        <v>140.51839059540501</v>
      </c>
      <c r="F97" s="3">
        <f t="shared" si="4"/>
        <v>16.960155682780833</v>
      </c>
      <c r="G97" s="98">
        <f t="shared" si="5"/>
        <v>2.5062810268090012</v>
      </c>
      <c r="H97" s="42">
        <f t="shared" si="6"/>
        <v>20.765055631214338</v>
      </c>
      <c r="I97" s="3"/>
      <c r="J97" s="102"/>
      <c r="K97" s="48" t="b">
        <f t="shared" si="7"/>
        <v>0</v>
      </c>
      <c r="L97" s="50"/>
    </row>
    <row r="98" spans="1:12" x14ac:dyDescent="0.3">
      <c r="A98" s="97">
        <v>39022</v>
      </c>
      <c r="B98" s="91">
        <f>3460787380.84/(10^9)</f>
        <v>3.4607873808400003</v>
      </c>
      <c r="C98" s="91">
        <f>152657160415.95/(10^9)</f>
        <v>152.65716041595002</v>
      </c>
      <c r="D98" s="91">
        <f>17938109617.48/(10^9)</f>
        <v>17.938109617479999</v>
      </c>
      <c r="E98" s="3">
        <f t="shared" si="4"/>
        <v>142.37511854023418</v>
      </c>
      <c r="F98" s="3">
        <f t="shared" si="4"/>
        <v>17.090274222070832</v>
      </c>
      <c r="G98" s="98">
        <f t="shared" si="5"/>
        <v>2.4307529407689357</v>
      </c>
      <c r="H98" s="42">
        <f t="shared" si="6"/>
        <v>20.250040086370575</v>
      </c>
      <c r="I98" s="3"/>
      <c r="J98" s="102"/>
      <c r="K98" s="48" t="b">
        <f t="shared" si="7"/>
        <v>0</v>
      </c>
      <c r="L98" s="50"/>
    </row>
    <row r="99" spans="1:12" x14ac:dyDescent="0.3">
      <c r="A99" s="97">
        <v>39052</v>
      </c>
      <c r="B99" s="91">
        <f>3569080736.74/(10^9)</f>
        <v>3.5690807367399997</v>
      </c>
      <c r="C99" s="91">
        <f>155906574666.34/(10^9)</f>
        <v>155.90657466633999</v>
      </c>
      <c r="D99" s="91">
        <f>18777101040.24/(10^9)</f>
        <v>18.777101040240002</v>
      </c>
      <c r="E99" s="3">
        <f t="shared" si="4"/>
        <v>144.12854519667917</v>
      </c>
      <c r="F99" s="3">
        <f t="shared" si="4"/>
        <v>17.265600947507501</v>
      </c>
      <c r="G99" s="98">
        <f t="shared" si="5"/>
        <v>2.4763177425190812</v>
      </c>
      <c r="H99" s="42">
        <f t="shared" si="6"/>
        <v>20.671627634572662</v>
      </c>
      <c r="I99" s="3"/>
      <c r="J99" s="102"/>
      <c r="K99" s="48" t="b">
        <f t="shared" si="7"/>
        <v>0</v>
      </c>
      <c r="L99" s="50"/>
    </row>
    <row r="100" spans="1:12" x14ac:dyDescent="0.3">
      <c r="A100" s="97">
        <v>39083</v>
      </c>
      <c r="B100" s="91">
        <f>3486582352.66/(10^9)</f>
        <v>3.4865823526599997</v>
      </c>
      <c r="C100" s="91">
        <f>154955205047.57/(10^9)</f>
        <v>154.95520504757002</v>
      </c>
      <c r="D100" s="91">
        <f>18935352148.89/(10^9)</f>
        <v>18.935352148890001</v>
      </c>
      <c r="E100" s="3">
        <f t="shared" si="4"/>
        <v>145.74962025922667</v>
      </c>
      <c r="F100" s="3">
        <f t="shared" si="4"/>
        <v>17.390423509414997</v>
      </c>
      <c r="G100" s="98">
        <f t="shared" si="5"/>
        <v>2.3921725123254869</v>
      </c>
      <c r="H100" s="42">
        <f t="shared" si="6"/>
        <v>20.048863966840138</v>
      </c>
      <c r="I100" s="3"/>
      <c r="J100" s="102"/>
      <c r="K100" s="48" t="b">
        <f t="shared" si="7"/>
        <v>0</v>
      </c>
      <c r="L100" s="50"/>
    </row>
    <row r="101" spans="1:12" x14ac:dyDescent="0.3">
      <c r="A101" s="97">
        <v>39114</v>
      </c>
      <c r="B101" s="91">
        <f>3437283273.06/(10^9)</f>
        <v>3.4372832730599998</v>
      </c>
      <c r="C101" s="91">
        <f>160346087103.13/(10^9)</f>
        <v>160.34608710313</v>
      </c>
      <c r="D101" s="91">
        <f>19150421578.07/(10^9)</f>
        <v>19.150421578069999</v>
      </c>
      <c r="E101" s="3">
        <f t="shared" si="4"/>
        <v>147.72006757848752</v>
      </c>
      <c r="F101" s="3">
        <f t="shared" si="4"/>
        <v>17.509847790920833</v>
      </c>
      <c r="G101" s="98">
        <f t="shared" si="5"/>
        <v>2.3268898595877512</v>
      </c>
      <c r="H101" s="42">
        <f t="shared" si="6"/>
        <v>19.630571973574163</v>
      </c>
      <c r="I101" s="3"/>
      <c r="J101" s="102"/>
      <c r="K101" s="48" t="b">
        <f t="shared" si="7"/>
        <v>0</v>
      </c>
      <c r="L101" s="50"/>
    </row>
    <row r="102" spans="1:12" x14ac:dyDescent="0.3">
      <c r="A102" s="97">
        <v>39142</v>
      </c>
      <c r="B102" s="91">
        <f>3525773730.9/(10^9)</f>
        <v>3.5257737309000001</v>
      </c>
      <c r="C102" s="91">
        <f>162231053349.96/(10^9)</f>
        <v>162.23105334995998</v>
      </c>
      <c r="D102" s="91">
        <f>18698726716.85/(10^9)</f>
        <v>18.698726716849997</v>
      </c>
      <c r="E102" s="3">
        <f t="shared" si="4"/>
        <v>149.7077442415675</v>
      </c>
      <c r="F102" s="3">
        <f t="shared" si="4"/>
        <v>17.656657664574997</v>
      </c>
      <c r="G102" s="98">
        <f t="shared" si="5"/>
        <v>2.3551044394943479</v>
      </c>
      <c r="H102" s="42">
        <f t="shared" si="6"/>
        <v>19.968522910051373</v>
      </c>
      <c r="I102" s="3"/>
      <c r="J102" s="102"/>
      <c r="K102" s="48" t="b">
        <f t="shared" si="7"/>
        <v>0</v>
      </c>
      <c r="L102" s="50"/>
    </row>
    <row r="103" spans="1:12" x14ac:dyDescent="0.3">
      <c r="A103" s="97">
        <v>39173</v>
      </c>
      <c r="B103" s="91">
        <f>3518087939.36/(10^9)</f>
        <v>3.51808793936</v>
      </c>
      <c r="C103" s="91">
        <f>165480012459.79/(10^9)</f>
        <v>165.48001245979</v>
      </c>
      <c r="D103" s="91">
        <f>18960155684.87/(10^9)</f>
        <v>18.960155684869999</v>
      </c>
      <c r="E103" s="3">
        <f t="shared" si="4"/>
        <v>151.89541526338331</v>
      </c>
      <c r="F103" s="3">
        <f t="shared" si="4"/>
        <v>17.820971306647497</v>
      </c>
      <c r="G103" s="98">
        <f t="shared" si="5"/>
        <v>2.3161251662926841</v>
      </c>
      <c r="H103" s="42">
        <f t="shared" si="6"/>
        <v>19.741280533052084</v>
      </c>
      <c r="I103" s="3"/>
      <c r="J103" s="102"/>
      <c r="K103" s="48" t="b">
        <f t="shared" si="7"/>
        <v>0</v>
      </c>
      <c r="L103" s="50"/>
    </row>
    <row r="104" spans="1:12" x14ac:dyDescent="0.3">
      <c r="A104" s="97">
        <v>39203</v>
      </c>
      <c r="B104" s="91">
        <f>3714875669.04/(10^9)</f>
        <v>3.71487566904</v>
      </c>
      <c r="C104" s="91">
        <f>165305184227.97/(10^9)</f>
        <v>165.30518422796999</v>
      </c>
      <c r="D104" s="91">
        <f>19207766226.84/(10^9)</f>
        <v>19.20776622684</v>
      </c>
      <c r="E104" s="3">
        <f t="shared" si="4"/>
        <v>154.02918330646415</v>
      </c>
      <c r="F104" s="3">
        <f t="shared" si="4"/>
        <v>18.089982347800831</v>
      </c>
      <c r="G104" s="98">
        <f t="shared" si="5"/>
        <v>2.4117998870699058</v>
      </c>
      <c r="H104" s="42">
        <f t="shared" si="6"/>
        <v>20.535540597095228</v>
      </c>
      <c r="I104" s="3"/>
      <c r="J104" s="102"/>
      <c r="K104" s="48" t="b">
        <f t="shared" si="7"/>
        <v>0</v>
      </c>
      <c r="L104" s="50"/>
    </row>
    <row r="105" spans="1:12" x14ac:dyDescent="0.3">
      <c r="A105" s="97">
        <v>39234</v>
      </c>
      <c r="B105" s="91">
        <f>3959609004.97/(10^9)</f>
        <v>3.9596090049699999</v>
      </c>
      <c r="C105" s="91">
        <f>168460273884.44/(10^9)</f>
        <v>168.46027388444</v>
      </c>
      <c r="D105" s="91">
        <f>19641416754.83/(10^9)</f>
        <v>19.641416754830001</v>
      </c>
      <c r="E105" s="3">
        <f t="shared" si="4"/>
        <v>156.06035365810999</v>
      </c>
      <c r="F105" s="3">
        <f t="shared" si="4"/>
        <v>18.394546042615833</v>
      </c>
      <c r="G105" s="98">
        <f t="shared" si="5"/>
        <v>2.5372292912039232</v>
      </c>
      <c r="H105" s="42">
        <f t="shared" si="6"/>
        <v>21.525994693190679</v>
      </c>
      <c r="I105" s="3"/>
      <c r="J105" s="102"/>
      <c r="K105" s="48" t="b">
        <f t="shared" si="7"/>
        <v>0</v>
      </c>
      <c r="L105" s="50"/>
    </row>
    <row r="106" spans="1:12" x14ac:dyDescent="0.3">
      <c r="A106" s="97">
        <v>39264</v>
      </c>
      <c r="B106" s="91">
        <f>4070193469.49/(10^9)</f>
        <v>4.0701934694899995</v>
      </c>
      <c r="C106" s="91">
        <f>170284380337.13/(10^9)</f>
        <v>170.28438033713002</v>
      </c>
      <c r="D106" s="91">
        <f>21051274330.07/(10^9)</f>
        <v>21.051274330070001</v>
      </c>
      <c r="E106" s="3">
        <f t="shared" si="4"/>
        <v>158.21031101174</v>
      </c>
      <c r="F106" s="3">
        <f t="shared" si="4"/>
        <v>18.739716141580001</v>
      </c>
      <c r="G106" s="98">
        <f t="shared" si="5"/>
        <v>2.572647410564771</v>
      </c>
      <c r="H106" s="42">
        <f t="shared" si="6"/>
        <v>21.719611112246174</v>
      </c>
      <c r="I106" s="3"/>
      <c r="J106" s="102"/>
      <c r="K106" s="48" t="b">
        <f t="shared" si="7"/>
        <v>0</v>
      </c>
      <c r="L106" s="50"/>
    </row>
    <row r="107" spans="1:12" x14ac:dyDescent="0.3">
      <c r="A107" s="97">
        <v>39295</v>
      </c>
      <c r="B107" s="91">
        <f>4177415970.46/(10^9)</f>
        <v>4.1774159704600002</v>
      </c>
      <c r="C107" s="91">
        <f>172564913050.52/(10^9)</f>
        <v>172.56491305051998</v>
      </c>
      <c r="D107" s="91">
        <f>21373402677.81/(10^9)</f>
        <v>21.373402677810002</v>
      </c>
      <c r="E107" s="3">
        <f t="shared" si="4"/>
        <v>160.36123954678916</v>
      </c>
      <c r="F107" s="3">
        <f t="shared" si="4"/>
        <v>19.046627521008329</v>
      </c>
      <c r="G107" s="98">
        <f t="shared" si="5"/>
        <v>2.6050035421690172</v>
      </c>
      <c r="H107" s="42">
        <f t="shared" si="6"/>
        <v>21.932575548360635</v>
      </c>
      <c r="I107" s="3"/>
      <c r="J107" s="102"/>
      <c r="K107" s="48" t="b">
        <f t="shared" si="7"/>
        <v>0</v>
      </c>
      <c r="L107" s="50"/>
    </row>
    <row r="108" spans="1:12" x14ac:dyDescent="0.3">
      <c r="A108" s="97">
        <v>39326</v>
      </c>
      <c r="B108" s="91">
        <f>4081706825.94/(10^9)</f>
        <v>4.0817068259400004</v>
      </c>
      <c r="C108" s="91">
        <f>175362366145.84/(10^9)</f>
        <v>175.36236614583999</v>
      </c>
      <c r="D108" s="91">
        <f>20536490886.66/(10^9)</f>
        <v>20.536490886660001</v>
      </c>
      <c r="E108" s="3">
        <f t="shared" si="4"/>
        <v>162.74724465887834</v>
      </c>
      <c r="F108" s="3">
        <f t="shared" si="4"/>
        <v>19.328056108061663</v>
      </c>
      <c r="G108" s="98">
        <f t="shared" si="5"/>
        <v>2.5080036436225654</v>
      </c>
      <c r="H108" s="42">
        <f t="shared" si="6"/>
        <v>21.118041064861849</v>
      </c>
      <c r="I108" s="3"/>
      <c r="J108" s="102"/>
      <c r="K108" s="48" t="b">
        <f t="shared" si="7"/>
        <v>0</v>
      </c>
      <c r="L108" s="50"/>
    </row>
    <row r="109" spans="1:12" x14ac:dyDescent="0.3">
      <c r="A109" s="97">
        <v>39356</v>
      </c>
      <c r="B109" s="91">
        <f>3645355310.32/(10^9)</f>
        <v>3.6453553103200003</v>
      </c>
      <c r="C109" s="91">
        <f>178590336608/(10^9)</f>
        <v>178.590336608</v>
      </c>
      <c r="D109" s="91">
        <f>21009804737.47/(10^9)</f>
        <v>21.009804737470002</v>
      </c>
      <c r="E109" s="3">
        <f t="shared" si="4"/>
        <v>165.17862894138668</v>
      </c>
      <c r="F109" s="3">
        <f t="shared" si="4"/>
        <v>19.606668533339999</v>
      </c>
      <c r="G109" s="98">
        <f t="shared" si="5"/>
        <v>2.2069170410740897</v>
      </c>
      <c r="H109" s="42">
        <f t="shared" si="6"/>
        <v>18.592425858178231</v>
      </c>
      <c r="I109" s="3"/>
      <c r="J109" s="102"/>
      <c r="K109" s="48" t="b">
        <f t="shared" si="7"/>
        <v>0</v>
      </c>
      <c r="L109" s="50"/>
    </row>
    <row r="110" spans="1:12" x14ac:dyDescent="0.3">
      <c r="A110" s="97">
        <v>39387</v>
      </c>
      <c r="B110" s="91">
        <f>3769312205.45/(10^9)</f>
        <v>3.7693122054499999</v>
      </c>
      <c r="C110" s="91">
        <f>183726730090.77/(10^9)</f>
        <v>183.72673009076999</v>
      </c>
      <c r="D110" s="91">
        <f>21621456228.83/(10^9)</f>
        <v>21.621456228830002</v>
      </c>
      <c r="E110" s="3">
        <f t="shared" si="4"/>
        <v>167.76775974762165</v>
      </c>
      <c r="F110" s="3">
        <f t="shared" si="4"/>
        <v>19.913614084285832</v>
      </c>
      <c r="G110" s="98">
        <f t="shared" si="5"/>
        <v>2.2467440771220257</v>
      </c>
      <c r="H110" s="42">
        <f t="shared" si="6"/>
        <v>18.928318031554241</v>
      </c>
      <c r="I110" s="3"/>
      <c r="J110" s="102"/>
      <c r="K110" s="48" t="b">
        <f t="shared" si="7"/>
        <v>0</v>
      </c>
      <c r="L110" s="50"/>
    </row>
    <row r="111" spans="1:12" x14ac:dyDescent="0.3">
      <c r="A111" s="97">
        <v>39417</v>
      </c>
      <c r="B111" s="91">
        <f>3820732179.94/(10^9)</f>
        <v>3.8207321799400003</v>
      </c>
      <c r="C111" s="91">
        <f>185445015880.22/(10^9)</f>
        <v>185.44501588022001</v>
      </c>
      <c r="D111" s="91">
        <f>22476578749.98/(10^9)</f>
        <v>22.47657874998</v>
      </c>
      <c r="E111" s="3">
        <f t="shared" si="4"/>
        <v>170.22929651544499</v>
      </c>
      <c r="F111" s="3">
        <f t="shared" si="4"/>
        <v>20.221903893430834</v>
      </c>
      <c r="G111" s="98">
        <f t="shared" si="5"/>
        <v>2.2444621802178122</v>
      </c>
      <c r="H111" s="42">
        <f t="shared" si="6"/>
        <v>18.894027981119919</v>
      </c>
      <c r="I111" s="3"/>
      <c r="J111" s="102"/>
      <c r="K111" s="48" t="b">
        <f t="shared" si="7"/>
        <v>0</v>
      </c>
      <c r="L111" s="50"/>
    </row>
    <row r="112" spans="1:12" x14ac:dyDescent="0.3">
      <c r="A112" s="97">
        <v>39448</v>
      </c>
      <c r="B112" s="91">
        <f>3904255145.7/(10^9)</f>
        <v>3.9042551456999997</v>
      </c>
      <c r="C112" s="91">
        <f>187087862938.2/(10^9)</f>
        <v>187.0878629382</v>
      </c>
      <c r="D112" s="91">
        <f>22484408374.95/(10^9)</f>
        <v>22.48440837495</v>
      </c>
      <c r="E112" s="3">
        <f t="shared" si="4"/>
        <v>172.90701800633084</v>
      </c>
      <c r="F112" s="3">
        <f t="shared" si="4"/>
        <v>20.517658578935833</v>
      </c>
      <c r="G112" s="98">
        <f t="shared" si="5"/>
        <v>2.2580084896016475</v>
      </c>
      <c r="H112" s="42">
        <f t="shared" si="6"/>
        <v>19.028755794329516</v>
      </c>
      <c r="I112" s="3"/>
      <c r="J112" s="102"/>
      <c r="K112" s="48" t="b">
        <f t="shared" si="7"/>
        <v>0</v>
      </c>
      <c r="L112" s="50"/>
    </row>
    <row r="113" spans="1:12" x14ac:dyDescent="0.3">
      <c r="A113" s="97">
        <v>39479</v>
      </c>
      <c r="B113" s="91">
        <f>4007034492.99/(10^9)</f>
        <v>4.0070344929899999</v>
      </c>
      <c r="C113" s="91">
        <f>187299820396.83/(10^9)</f>
        <v>187.29982039683</v>
      </c>
      <c r="D113" s="91">
        <f>22784441780.2/(10^9)</f>
        <v>22.784441780200002</v>
      </c>
      <c r="E113" s="3">
        <f t="shared" si="4"/>
        <v>175.15316244747248</v>
      </c>
      <c r="F113" s="3">
        <f t="shared" si="4"/>
        <v>20.82049359578</v>
      </c>
      <c r="G113" s="98">
        <f t="shared" si="5"/>
        <v>2.2877317411792029</v>
      </c>
      <c r="H113" s="42">
        <f t="shared" si="6"/>
        <v>19.245626788608725</v>
      </c>
      <c r="I113" s="3"/>
      <c r="J113" s="102"/>
      <c r="K113" s="48" t="b">
        <f t="shared" si="7"/>
        <v>0</v>
      </c>
      <c r="L113" s="50"/>
    </row>
    <row r="114" spans="1:12" x14ac:dyDescent="0.3">
      <c r="A114" s="97">
        <v>39508</v>
      </c>
      <c r="B114" s="91">
        <f>4160328295.19/(10^9)</f>
        <v>4.1603282951900002</v>
      </c>
      <c r="C114" s="91">
        <f>188035614295.8/(10^9)</f>
        <v>188.03561429579997</v>
      </c>
      <c r="D114" s="91">
        <f>21900519494.19/(10^9)</f>
        <v>21.90051949419</v>
      </c>
      <c r="E114" s="3">
        <f t="shared" si="4"/>
        <v>177.30354252629249</v>
      </c>
      <c r="F114" s="3">
        <f t="shared" si="4"/>
        <v>21.087309660558336</v>
      </c>
      <c r="G114" s="98">
        <f t="shared" si="5"/>
        <v>2.3464439773238381</v>
      </c>
      <c r="H114" s="42">
        <f t="shared" si="6"/>
        <v>19.72906151689644</v>
      </c>
      <c r="I114" s="3"/>
      <c r="J114" s="102"/>
      <c r="K114" s="48" t="b">
        <f t="shared" si="7"/>
        <v>0</v>
      </c>
      <c r="L114" s="50"/>
    </row>
    <row r="115" spans="1:12" x14ac:dyDescent="0.3">
      <c r="A115" s="97">
        <v>39539</v>
      </c>
      <c r="B115" s="91">
        <f>4316629975.56/(10^9)</f>
        <v>4.3166299755600006</v>
      </c>
      <c r="C115" s="91">
        <f>192401175749.99/(10^9)</f>
        <v>192.40117574998999</v>
      </c>
      <c r="D115" s="91">
        <f>22507267212.34/(10^9)</f>
        <v>22.50726721234</v>
      </c>
      <c r="E115" s="3">
        <f t="shared" si="4"/>
        <v>179.5469728004758</v>
      </c>
      <c r="F115" s="3">
        <f t="shared" si="4"/>
        <v>21.382902287847504</v>
      </c>
      <c r="G115" s="98">
        <f t="shared" si="5"/>
        <v>2.4041786437451766</v>
      </c>
      <c r="H115" s="42">
        <f t="shared" si="6"/>
        <v>20.187296922800144</v>
      </c>
      <c r="I115" s="3"/>
      <c r="J115" s="102"/>
      <c r="K115" s="48" t="b">
        <f t="shared" si="7"/>
        <v>0</v>
      </c>
      <c r="L115" s="50"/>
    </row>
    <row r="116" spans="1:12" x14ac:dyDescent="0.3">
      <c r="A116" s="97">
        <v>39569</v>
      </c>
      <c r="B116" s="91">
        <f>4409352869.72/(10^9)</f>
        <v>4.4093528697200002</v>
      </c>
      <c r="C116" s="91">
        <f>192087872545.44/(10^9)</f>
        <v>192.08787254544001</v>
      </c>
      <c r="D116" s="91">
        <f>23127629340.23/(10^9)</f>
        <v>23.127629340230001</v>
      </c>
      <c r="E116" s="3">
        <f t="shared" ref="E116:F179" si="8">+AVERAGE(C105:C116)</f>
        <v>181.77886349359835</v>
      </c>
      <c r="F116" s="3">
        <f t="shared" si="8"/>
        <v>21.709557547296669</v>
      </c>
      <c r="G116" s="98">
        <f t="shared" si="5"/>
        <v>2.4256686310921309</v>
      </c>
      <c r="H116" s="42">
        <f t="shared" si="6"/>
        <v>20.310652854687334</v>
      </c>
      <c r="I116" s="3"/>
      <c r="J116" s="102"/>
      <c r="K116" s="48" t="b">
        <f t="shared" si="7"/>
        <v>0</v>
      </c>
      <c r="L116" s="50"/>
    </row>
    <row r="117" spans="1:12" x14ac:dyDescent="0.3">
      <c r="A117" s="97">
        <v>39600</v>
      </c>
      <c r="B117" s="91">
        <f>4357371818.1/(10^9)</f>
        <v>4.3573718181000007</v>
      </c>
      <c r="C117" s="91">
        <f>196949310679.39/(10^9)</f>
        <v>196.94931067939001</v>
      </c>
      <c r="D117" s="91">
        <f>23477899134.87/(10^9)</f>
        <v>23.47789913487</v>
      </c>
      <c r="E117" s="3">
        <f t="shared" si="8"/>
        <v>184.15294989317749</v>
      </c>
      <c r="F117" s="3">
        <f t="shared" si="8"/>
        <v>22.029264412300005</v>
      </c>
      <c r="G117" s="98">
        <f t="shared" si="5"/>
        <v>2.3661699802406657</v>
      </c>
      <c r="H117" s="42">
        <f t="shared" si="6"/>
        <v>19.779924270494792</v>
      </c>
      <c r="I117" s="3"/>
      <c r="J117" s="102"/>
      <c r="K117" s="48" t="b">
        <f t="shared" si="7"/>
        <v>0</v>
      </c>
      <c r="L117" s="50"/>
    </row>
    <row r="118" spans="1:12" x14ac:dyDescent="0.3">
      <c r="A118" s="97">
        <v>39630</v>
      </c>
      <c r="B118" s="91">
        <f>4503082636.55/(10^9)</f>
        <v>4.5030826365500003</v>
      </c>
      <c r="C118" s="91">
        <f>197065664926.49/(10^9)</f>
        <v>197.06566492649</v>
      </c>
      <c r="D118" s="91">
        <f>24035591590.91/(10^9)</f>
        <v>24.035591590909998</v>
      </c>
      <c r="E118" s="3">
        <f t="shared" si="8"/>
        <v>186.3847236089575</v>
      </c>
      <c r="F118" s="3">
        <f t="shared" si="8"/>
        <v>22.277957517370002</v>
      </c>
      <c r="G118" s="98">
        <f t="shared" si="5"/>
        <v>2.4160148693289076</v>
      </c>
      <c r="H118" s="42">
        <f t="shared" si="6"/>
        <v>20.213175436028958</v>
      </c>
      <c r="I118" s="3"/>
      <c r="J118" s="102"/>
      <c r="K118" s="48" t="b">
        <f t="shared" si="7"/>
        <v>0</v>
      </c>
      <c r="L118" s="50"/>
    </row>
    <row r="119" spans="1:12" x14ac:dyDescent="0.3">
      <c r="A119" s="97">
        <v>39661</v>
      </c>
      <c r="B119" s="91">
        <f>4475324578.9/(10^9)</f>
        <v>4.4753245788999996</v>
      </c>
      <c r="C119" s="91">
        <f>200132325527.59/(10^9)</f>
        <v>200.13232552758998</v>
      </c>
      <c r="D119" s="91">
        <f>24822257079.82/(10^9)</f>
        <v>24.822257079819998</v>
      </c>
      <c r="E119" s="3">
        <f t="shared" si="8"/>
        <v>188.68200798204668</v>
      </c>
      <c r="F119" s="3">
        <f t="shared" si="8"/>
        <v>22.565362050870835</v>
      </c>
      <c r="G119" s="98">
        <f t="shared" si="5"/>
        <v>2.3718872969201348</v>
      </c>
      <c r="H119" s="42">
        <f t="shared" si="6"/>
        <v>19.832717812419453</v>
      </c>
      <c r="I119" s="3"/>
      <c r="J119" s="102"/>
      <c r="K119" s="48" t="b">
        <f t="shared" si="7"/>
        <v>0</v>
      </c>
      <c r="L119" s="50"/>
    </row>
    <row r="120" spans="1:12" x14ac:dyDescent="0.3">
      <c r="A120" s="97">
        <v>39692</v>
      </c>
      <c r="B120" s="91">
        <f>4804364721.97/(10^9)</f>
        <v>4.8043647219699999</v>
      </c>
      <c r="C120" s="91">
        <f>204980837996.09/(10^9)</f>
        <v>204.98083799609</v>
      </c>
      <c r="D120" s="91">
        <f>24582785720.52/(10^9)</f>
        <v>24.58278572052</v>
      </c>
      <c r="E120" s="3">
        <f t="shared" si="8"/>
        <v>191.15021396956749</v>
      </c>
      <c r="F120" s="3">
        <f t="shared" si="8"/>
        <v>22.902553287025828</v>
      </c>
      <c r="G120" s="98">
        <f t="shared" si="5"/>
        <v>2.5133975119352416</v>
      </c>
      <c r="H120" s="42">
        <f t="shared" si="6"/>
        <v>20.977419686614795</v>
      </c>
      <c r="I120" s="3"/>
      <c r="J120" s="102"/>
      <c r="K120" s="48" t="b">
        <f t="shared" si="7"/>
        <v>0</v>
      </c>
      <c r="L120" s="50"/>
    </row>
    <row r="121" spans="1:12" x14ac:dyDescent="0.3">
      <c r="A121" s="97">
        <v>39722</v>
      </c>
      <c r="B121" s="91">
        <f>4843794957.38/(10^9)</f>
        <v>4.8437949573800001</v>
      </c>
      <c r="C121" s="91">
        <f>208639597041.86/(10^9)</f>
        <v>208.63959704185999</v>
      </c>
      <c r="D121" s="91">
        <f>24802201959.31/(10^9)</f>
        <v>24.80220195931</v>
      </c>
      <c r="E121" s="3">
        <f t="shared" si="8"/>
        <v>193.65431900572244</v>
      </c>
      <c r="F121" s="3">
        <f t="shared" si="8"/>
        <v>23.218586388845832</v>
      </c>
      <c r="G121" s="98">
        <f t="shared" si="5"/>
        <v>2.5012584187378062</v>
      </c>
      <c r="H121" s="42">
        <f t="shared" si="6"/>
        <v>20.861713440517423</v>
      </c>
      <c r="I121" s="3"/>
      <c r="J121" s="102"/>
      <c r="K121" s="48" t="b">
        <f t="shared" si="7"/>
        <v>0</v>
      </c>
      <c r="L121" s="50"/>
    </row>
    <row r="122" spans="1:12" x14ac:dyDescent="0.3">
      <c r="A122" s="97">
        <v>39753</v>
      </c>
      <c r="B122" s="91">
        <f>4917355985.28/(10^9)</f>
        <v>4.9173559852799995</v>
      </c>
      <c r="C122" s="91">
        <f>214556492604.67/(10^9)</f>
        <v>214.55649260467001</v>
      </c>
      <c r="D122" s="91">
        <f>25631964156.86/(10^9)</f>
        <v>25.631964156860001</v>
      </c>
      <c r="E122" s="3">
        <f t="shared" si="8"/>
        <v>196.2234658818808</v>
      </c>
      <c r="F122" s="3">
        <f t="shared" si="8"/>
        <v>23.552795382848334</v>
      </c>
      <c r="G122" s="98">
        <f t="shared" si="5"/>
        <v>2.5059979259769389</v>
      </c>
      <c r="H122" s="42">
        <f t="shared" si="6"/>
        <v>20.87801428810835</v>
      </c>
      <c r="I122" s="3"/>
      <c r="J122" s="102"/>
      <c r="K122" s="48" t="b">
        <f t="shared" si="7"/>
        <v>0</v>
      </c>
      <c r="L122" s="50"/>
    </row>
    <row r="123" spans="1:12" x14ac:dyDescent="0.3">
      <c r="A123" s="97">
        <v>39783</v>
      </c>
      <c r="B123" s="91">
        <f>4862400937.33/(10^9)</f>
        <v>4.8624009373300003</v>
      </c>
      <c r="C123" s="91">
        <f>215989282928.8/(10^9)</f>
        <v>215.98928292879998</v>
      </c>
      <c r="D123" s="91">
        <f>26447441735.13/(10^9)</f>
        <v>26.447441735130003</v>
      </c>
      <c r="E123" s="3">
        <f t="shared" si="8"/>
        <v>198.76882146926252</v>
      </c>
      <c r="F123" s="3">
        <f t="shared" si="8"/>
        <v>23.883700631610832</v>
      </c>
      <c r="G123" s="98">
        <f t="shared" si="5"/>
        <v>2.4462593788039935</v>
      </c>
      <c r="H123" s="42">
        <f t="shared" si="6"/>
        <v>20.358658033481039</v>
      </c>
      <c r="I123" s="3"/>
      <c r="J123" s="102"/>
      <c r="K123" s="48" t="b">
        <f t="shared" si="7"/>
        <v>0</v>
      </c>
      <c r="L123" s="50"/>
    </row>
    <row r="124" spans="1:12" x14ac:dyDescent="0.3">
      <c r="A124" s="97">
        <v>39814</v>
      </c>
      <c r="B124" s="91">
        <f>4958444699.02/(10^9)</f>
        <v>4.9584446990200002</v>
      </c>
      <c r="C124" s="91">
        <f>220094977889.16/(10^9)</f>
        <v>220.09497788915999</v>
      </c>
      <c r="D124" s="91">
        <f>27249691555.22/(10^9)</f>
        <v>27.24969155522</v>
      </c>
      <c r="E124" s="3">
        <f t="shared" si="8"/>
        <v>201.51941438184249</v>
      </c>
      <c r="F124" s="3">
        <f t="shared" si="8"/>
        <v>24.280807563300002</v>
      </c>
      <c r="G124" s="98">
        <f t="shared" si="5"/>
        <v>2.4605295297378409</v>
      </c>
      <c r="H124" s="42">
        <f t="shared" si="6"/>
        <v>20.421251171705666</v>
      </c>
      <c r="I124" s="3"/>
      <c r="J124" s="102"/>
      <c r="K124" s="48" t="b">
        <f t="shared" si="7"/>
        <v>0</v>
      </c>
      <c r="L124" s="50"/>
    </row>
    <row r="125" spans="1:12" x14ac:dyDescent="0.3">
      <c r="A125" s="97">
        <v>39845</v>
      </c>
      <c r="B125" s="91">
        <f>5116120479.51/(10^9)</f>
        <v>5.1161204795100002</v>
      </c>
      <c r="C125" s="91">
        <f>222776833027.7/(10^9)</f>
        <v>222.77683302770001</v>
      </c>
      <c r="D125" s="91">
        <f>27838513226.29/(10^9)</f>
        <v>27.838513226290001</v>
      </c>
      <c r="E125" s="3">
        <f t="shared" si="8"/>
        <v>204.47583210108166</v>
      </c>
      <c r="F125" s="3">
        <f t="shared" si="8"/>
        <v>24.701980183807503</v>
      </c>
      <c r="G125" s="98">
        <f t="shared" si="5"/>
        <v>2.5020661008880842</v>
      </c>
      <c r="H125" s="42">
        <f t="shared" si="6"/>
        <v>20.711377960151104</v>
      </c>
      <c r="I125" s="3"/>
      <c r="J125" s="102"/>
      <c r="K125" s="48" t="b">
        <f t="shared" si="7"/>
        <v>0</v>
      </c>
      <c r="L125" s="50"/>
    </row>
    <row r="126" spans="1:12" x14ac:dyDescent="0.3">
      <c r="A126" s="97">
        <v>39873</v>
      </c>
      <c r="B126" s="91">
        <f>5139407375.81/(10^9)</f>
        <v>5.1394073758100003</v>
      </c>
      <c r="C126" s="91">
        <f>222639244272.89/(10^9)</f>
        <v>222.63924427289001</v>
      </c>
      <c r="D126" s="91">
        <f>27213084334.08/(10^9)</f>
        <v>27.213084334080001</v>
      </c>
      <c r="E126" s="3">
        <f t="shared" si="8"/>
        <v>207.35946793250582</v>
      </c>
      <c r="F126" s="3">
        <f t="shared" si="8"/>
        <v>25.144693920465002</v>
      </c>
      <c r="G126" s="98">
        <f t="shared" si="5"/>
        <v>2.4785014289691585</v>
      </c>
      <c r="H126" s="42">
        <f t="shared" si="6"/>
        <v>20.439331622275546</v>
      </c>
      <c r="I126" s="3"/>
      <c r="J126" s="102"/>
      <c r="K126" s="48" t="b">
        <f t="shared" si="7"/>
        <v>0</v>
      </c>
      <c r="L126" s="50"/>
    </row>
    <row r="127" spans="1:12" x14ac:dyDescent="0.3">
      <c r="A127" s="97">
        <v>39904</v>
      </c>
      <c r="B127" s="91">
        <f>5150856158.57/(10^9)</f>
        <v>5.1508561585699999</v>
      </c>
      <c r="C127" s="91">
        <f>223760921664.44/(10^9)</f>
        <v>223.76092166443999</v>
      </c>
      <c r="D127" s="91">
        <f>27990789773.09/(10^9)</f>
        <v>27.99078977309</v>
      </c>
      <c r="E127" s="3">
        <f t="shared" si="8"/>
        <v>209.97278009204334</v>
      </c>
      <c r="F127" s="3">
        <f t="shared" si="8"/>
        <v>25.601654133860833</v>
      </c>
      <c r="G127" s="98">
        <f t="shared" si="5"/>
        <v>2.4531066152060657</v>
      </c>
      <c r="H127" s="42">
        <f t="shared" si="6"/>
        <v>20.119231873215021</v>
      </c>
      <c r="I127" s="3"/>
      <c r="J127" s="102"/>
      <c r="K127" s="48" t="b">
        <f t="shared" si="7"/>
        <v>0</v>
      </c>
      <c r="L127" s="50"/>
    </row>
    <row r="128" spans="1:12" x14ac:dyDescent="0.3">
      <c r="A128" s="97">
        <v>39934</v>
      </c>
      <c r="B128" s="91">
        <f>5125870163.3234/(10^9)</f>
        <v>5.1258701633233992</v>
      </c>
      <c r="C128" s="91">
        <f>223637774216.118/(10^9)</f>
        <v>223.637774216118</v>
      </c>
      <c r="D128" s="91">
        <f>28527686017.2297/(10^9)</f>
        <v>28.527686017229698</v>
      </c>
      <c r="E128" s="3">
        <f t="shared" si="8"/>
        <v>212.60193856459986</v>
      </c>
      <c r="F128" s="3">
        <f t="shared" si="8"/>
        <v>26.051658856944144</v>
      </c>
      <c r="G128" s="98">
        <f t="shared" si="5"/>
        <v>2.4110176030995527</v>
      </c>
      <c r="H128" s="42">
        <f t="shared" si="6"/>
        <v>19.67579182374056</v>
      </c>
      <c r="I128" s="3"/>
      <c r="J128" s="102"/>
      <c r="K128" s="48" t="b">
        <f t="shared" si="7"/>
        <v>0</v>
      </c>
      <c r="L128" s="50"/>
    </row>
    <row r="129" spans="1:12" x14ac:dyDescent="0.3">
      <c r="A129" s="97">
        <v>39965</v>
      </c>
      <c r="B129" s="91">
        <f>5172566754.35925/(10^9)</f>
        <v>5.1725667543592504</v>
      </c>
      <c r="C129" s="91">
        <f>227575694132.883/(10^9)</f>
        <v>227.575694132883</v>
      </c>
      <c r="D129" s="91">
        <f>29206520024.8699/(10^9)</f>
        <v>29.206520024869899</v>
      </c>
      <c r="E129" s="3">
        <f t="shared" si="8"/>
        <v>215.15413718572424</v>
      </c>
      <c r="F129" s="3">
        <f t="shared" si="8"/>
        <v>26.529043931110802</v>
      </c>
      <c r="G129" s="98">
        <f t="shared" si="5"/>
        <v>2.4041214461491922</v>
      </c>
      <c r="H129" s="42">
        <f t="shared" si="6"/>
        <v>19.497750344079847</v>
      </c>
      <c r="I129" s="3"/>
      <c r="J129" s="102"/>
      <c r="K129" s="48" t="b">
        <f t="shared" si="7"/>
        <v>0</v>
      </c>
      <c r="L129" s="50"/>
    </row>
    <row r="130" spans="1:12" x14ac:dyDescent="0.3">
      <c r="A130" s="97">
        <v>39995</v>
      </c>
      <c r="B130" s="91">
        <f>5071783270.87/(10^9)</f>
        <v>5.0717832708700001</v>
      </c>
      <c r="C130" s="91">
        <f>226648854326.35/(10^9)</f>
        <v>226.64885432635</v>
      </c>
      <c r="D130" s="91">
        <f>29946060616.02/(10^9)</f>
        <v>29.946060616019999</v>
      </c>
      <c r="E130" s="3">
        <f t="shared" si="8"/>
        <v>217.61940296904592</v>
      </c>
      <c r="F130" s="3">
        <f t="shared" si="8"/>
        <v>27.021583016536635</v>
      </c>
      <c r="G130" s="98">
        <f t="shared" si="5"/>
        <v>2.3305749403197322</v>
      </c>
      <c r="H130" s="42">
        <f t="shared" si="6"/>
        <v>18.76937878793473</v>
      </c>
      <c r="I130" s="3"/>
      <c r="J130" s="102"/>
      <c r="K130" s="48" t="b">
        <f t="shared" si="7"/>
        <v>0</v>
      </c>
      <c r="L130" s="50"/>
    </row>
    <row r="131" spans="1:12" x14ac:dyDescent="0.3">
      <c r="A131" s="97">
        <v>40026</v>
      </c>
      <c r="B131" s="91">
        <f>5399379733.15/(10^9)</f>
        <v>5.39937973315</v>
      </c>
      <c r="C131" s="91">
        <f>227177802567.95/(10^9)</f>
        <v>227.17780256795001</v>
      </c>
      <c r="D131" s="91">
        <f>30641738952.34/(10^9)</f>
        <v>30.641738952339999</v>
      </c>
      <c r="E131" s="3">
        <f t="shared" si="8"/>
        <v>219.87319272240924</v>
      </c>
      <c r="F131" s="3">
        <f t="shared" si="8"/>
        <v>27.506539839246638</v>
      </c>
      <c r="G131" s="98">
        <f t="shared" ref="G131:G194" si="9">+B131/E131*100</f>
        <v>2.4556789603572717</v>
      </c>
      <c r="H131" s="42">
        <f t="shared" ref="H131:H194" si="10">B131/F131*100</f>
        <v>19.629439997560524</v>
      </c>
      <c r="I131" s="3"/>
      <c r="J131" s="102"/>
      <c r="K131" s="48" t="b">
        <f t="shared" ref="K131:K194" si="11">+G131&lt;$G$231</f>
        <v>0</v>
      </c>
      <c r="L131" s="50"/>
    </row>
    <row r="132" spans="1:12" x14ac:dyDescent="0.3">
      <c r="A132" s="97">
        <v>40057</v>
      </c>
      <c r="B132" s="91">
        <f>5484850202.79/(10^9)</f>
        <v>5.4848502027899997</v>
      </c>
      <c r="C132" s="91">
        <f>227045102893.65/(10^9)</f>
        <v>227.04510289364998</v>
      </c>
      <c r="D132" s="91">
        <f>31058839092.27/(10^9)</f>
        <v>31.058839092270002</v>
      </c>
      <c r="E132" s="3">
        <f t="shared" si="8"/>
        <v>221.7118814638726</v>
      </c>
      <c r="F132" s="3">
        <f t="shared" si="8"/>
        <v>28.046210953559129</v>
      </c>
      <c r="G132" s="98">
        <f t="shared" si="9"/>
        <v>2.4738639023654412</v>
      </c>
      <c r="H132" s="42">
        <f t="shared" si="10"/>
        <v>19.556474890216709</v>
      </c>
      <c r="I132" s="3"/>
      <c r="J132" s="102"/>
      <c r="K132" s="48" t="b">
        <f t="shared" si="11"/>
        <v>0</v>
      </c>
      <c r="L132" s="50"/>
    </row>
    <row r="133" spans="1:12" x14ac:dyDescent="0.3">
      <c r="A133" s="97">
        <v>40087</v>
      </c>
      <c r="B133" s="91">
        <f>5491445032.67/(10^9)</f>
        <v>5.4914450326699997</v>
      </c>
      <c r="C133" s="91">
        <f>231410652672.32/(10^9)</f>
        <v>231.41065267232</v>
      </c>
      <c r="D133" s="91">
        <f>31682668027.02/(10^9)</f>
        <v>31.68266802702</v>
      </c>
      <c r="E133" s="3">
        <f t="shared" si="8"/>
        <v>223.60946943307758</v>
      </c>
      <c r="F133" s="3">
        <f t="shared" si="8"/>
        <v>28.619583125868299</v>
      </c>
      <c r="G133" s="98">
        <f t="shared" si="9"/>
        <v>2.4558195350995606</v>
      </c>
      <c r="H133" s="42">
        <f t="shared" si="10"/>
        <v>19.187718453195998</v>
      </c>
      <c r="I133" s="3"/>
      <c r="J133" s="102"/>
      <c r="K133" s="48" t="b">
        <f t="shared" si="11"/>
        <v>0</v>
      </c>
      <c r="L133" s="50"/>
    </row>
    <row r="134" spans="1:12" x14ac:dyDescent="0.3">
      <c r="A134" s="97">
        <v>40118</v>
      </c>
      <c r="B134" s="91">
        <f>5509907540.54/(10^9)</f>
        <v>5.5099075405399995</v>
      </c>
      <c r="C134" s="91">
        <f>235497442909.04/(10^9)</f>
        <v>235.49744290904002</v>
      </c>
      <c r="D134" s="91">
        <f>31998688315.02/(10^9)</f>
        <v>31.998688315020001</v>
      </c>
      <c r="E134" s="3">
        <f t="shared" si="8"/>
        <v>225.35454862510838</v>
      </c>
      <c r="F134" s="3">
        <f t="shared" si="8"/>
        <v>29.150143472381629</v>
      </c>
      <c r="G134" s="98">
        <f t="shared" si="9"/>
        <v>2.444995041882239</v>
      </c>
      <c r="H134" s="42">
        <f t="shared" si="10"/>
        <v>18.901819628299169</v>
      </c>
      <c r="I134" s="3"/>
      <c r="J134" s="102"/>
      <c r="K134" s="48" t="b">
        <f t="shared" si="11"/>
        <v>0</v>
      </c>
      <c r="L134" s="50"/>
    </row>
    <row r="135" spans="1:12" x14ac:dyDescent="0.3">
      <c r="A135" s="97">
        <v>40148</v>
      </c>
      <c r="B135" s="91">
        <f>5467681181.73/(10^9)</f>
        <v>5.4676811817299997</v>
      </c>
      <c r="C135" s="91">
        <f>235075841672.37/(10^9)</f>
        <v>235.07584167236999</v>
      </c>
      <c r="D135" s="91">
        <f>32838791134.52/(10^9)</f>
        <v>32.838791134520001</v>
      </c>
      <c r="E135" s="3">
        <f t="shared" si="8"/>
        <v>226.94509518707255</v>
      </c>
      <c r="F135" s="3">
        <f t="shared" si="8"/>
        <v>29.682755922330799</v>
      </c>
      <c r="G135" s="98">
        <f t="shared" si="9"/>
        <v>2.4092528535251878</v>
      </c>
      <c r="H135" s="42">
        <f t="shared" si="10"/>
        <v>18.420395990308226</v>
      </c>
      <c r="I135" s="3"/>
      <c r="J135" s="102"/>
      <c r="K135" s="48" t="b">
        <f t="shared" si="11"/>
        <v>0</v>
      </c>
      <c r="L135" s="50"/>
    </row>
    <row r="136" spans="1:12" x14ac:dyDescent="0.3">
      <c r="A136" s="97">
        <v>40179</v>
      </c>
      <c r="B136" s="91">
        <f>5358807722.05/(10^9)</f>
        <v>5.3588077220499999</v>
      </c>
      <c r="C136" s="91">
        <f>239007780492.8/(10^9)</f>
        <v>239.00778049279998</v>
      </c>
      <c r="D136" s="91">
        <f>32846727940.18/(10^9)</f>
        <v>32.846727940180003</v>
      </c>
      <c r="E136" s="3">
        <f t="shared" si="8"/>
        <v>228.52116207070924</v>
      </c>
      <c r="F136" s="3">
        <f t="shared" si="8"/>
        <v>30.149175621077472</v>
      </c>
      <c r="G136" s="98">
        <f t="shared" si="9"/>
        <v>2.3449940799757845</v>
      </c>
      <c r="H136" s="42">
        <f t="shared" si="10"/>
        <v>17.774309285934919</v>
      </c>
      <c r="I136" s="3"/>
      <c r="J136" s="102"/>
      <c r="K136" s="48" t="b">
        <f t="shared" si="11"/>
        <v>0</v>
      </c>
      <c r="L136" s="50"/>
    </row>
    <row r="137" spans="1:12" x14ac:dyDescent="0.3">
      <c r="A137" s="97">
        <v>40210</v>
      </c>
      <c r="B137" s="91">
        <f>5475815561.45/(10^9)</f>
        <v>5.4758155614500001</v>
      </c>
      <c r="C137" s="91">
        <f>240169943271.85/(10^9)</f>
        <v>240.16994327185</v>
      </c>
      <c r="D137" s="91">
        <f>33450232582.71/(10^9)</f>
        <v>33.450232582710001</v>
      </c>
      <c r="E137" s="3">
        <f t="shared" si="8"/>
        <v>229.97058792438841</v>
      </c>
      <c r="F137" s="3">
        <f t="shared" si="8"/>
        <v>30.616818900779137</v>
      </c>
      <c r="G137" s="98">
        <f t="shared" si="9"/>
        <v>2.3810938654687366</v>
      </c>
      <c r="H137" s="42">
        <f t="shared" si="10"/>
        <v>17.884991837968677</v>
      </c>
      <c r="I137" s="3"/>
      <c r="J137" s="102"/>
      <c r="K137" s="48" t="b">
        <f t="shared" si="11"/>
        <v>0</v>
      </c>
      <c r="L137" s="50"/>
    </row>
    <row r="138" spans="1:12" x14ac:dyDescent="0.3">
      <c r="A138" s="97">
        <v>40238</v>
      </c>
      <c r="B138" s="91">
        <f>5668483595.33/(10^9)</f>
        <v>5.6684835953299997</v>
      </c>
      <c r="C138" s="91">
        <f>239997005905.04/(10^9)</f>
        <v>239.99700590504</v>
      </c>
      <c r="D138" s="91">
        <f>32656999859.07/(10^9)</f>
        <v>32.656999859069998</v>
      </c>
      <c r="E138" s="3">
        <f t="shared" si="8"/>
        <v>231.41706806040096</v>
      </c>
      <c r="F138" s="3">
        <f t="shared" si="8"/>
        <v>31.070478527861638</v>
      </c>
      <c r="G138" s="98">
        <f t="shared" si="9"/>
        <v>2.4494665163809342</v>
      </c>
      <c r="H138" s="42">
        <f t="shared" si="10"/>
        <v>18.243953308433714</v>
      </c>
      <c r="I138" s="3"/>
      <c r="J138" s="102"/>
      <c r="K138" s="48" t="b">
        <f t="shared" si="11"/>
        <v>0</v>
      </c>
      <c r="L138" s="50"/>
    </row>
    <row r="139" spans="1:12" x14ac:dyDescent="0.3">
      <c r="A139" s="97">
        <v>40269</v>
      </c>
      <c r="B139" s="91">
        <f>5761512115.49/(10^9)</f>
        <v>5.7615121154899995</v>
      </c>
      <c r="C139" s="91">
        <f>242697368853.09/(10^9)</f>
        <v>242.69736885308998</v>
      </c>
      <c r="D139" s="91">
        <f>33446147435.33/(10^9)</f>
        <v>33.446147435330005</v>
      </c>
      <c r="E139" s="3">
        <f t="shared" si="8"/>
        <v>232.9951053261218</v>
      </c>
      <c r="F139" s="3">
        <f t="shared" si="8"/>
        <v>31.525091666381627</v>
      </c>
      <c r="G139" s="98">
        <f t="shared" si="9"/>
        <v>2.4728039275441631</v>
      </c>
      <c r="H139" s="42">
        <f t="shared" si="10"/>
        <v>18.275956740941307</v>
      </c>
      <c r="I139" s="3"/>
      <c r="J139" s="102"/>
      <c r="K139" s="48" t="b">
        <f t="shared" si="11"/>
        <v>0</v>
      </c>
      <c r="L139" s="50"/>
    </row>
    <row r="140" spans="1:12" x14ac:dyDescent="0.3">
      <c r="A140" s="97">
        <v>40299</v>
      </c>
      <c r="B140" s="91">
        <f>5800644254.3066/(10^9)</f>
        <v>5.8006442543065999</v>
      </c>
      <c r="C140" s="91">
        <f>239943261854.38/(10^9)</f>
        <v>239.94326185438001</v>
      </c>
      <c r="D140" s="91">
        <f>33926717513.3/(10^9)</f>
        <v>33.926717513299998</v>
      </c>
      <c r="E140" s="3">
        <f t="shared" si="8"/>
        <v>234.35389596264361</v>
      </c>
      <c r="F140" s="3">
        <f t="shared" si="8"/>
        <v>31.975010957720816</v>
      </c>
      <c r="G140" s="98">
        <f t="shared" si="9"/>
        <v>2.4751644219438247</v>
      </c>
      <c r="H140" s="42">
        <f t="shared" si="10"/>
        <v>18.141179879426915</v>
      </c>
      <c r="I140" s="3"/>
      <c r="J140" s="102"/>
      <c r="K140" s="48" t="b">
        <f t="shared" si="11"/>
        <v>0</v>
      </c>
      <c r="L140" s="50"/>
    </row>
    <row r="141" spans="1:12" x14ac:dyDescent="0.3">
      <c r="A141" s="97">
        <v>40330</v>
      </c>
      <c r="B141" s="91">
        <f>5835376077.70075/(10^9)</f>
        <v>5.83537607770075</v>
      </c>
      <c r="C141" s="91">
        <f>247468929347.48/(10^9)</f>
        <v>247.46892934748001</v>
      </c>
      <c r="D141" s="91">
        <f>34448738211.84/(10^9)</f>
        <v>34.448738211839995</v>
      </c>
      <c r="E141" s="3">
        <f t="shared" si="8"/>
        <v>236.01166556386002</v>
      </c>
      <c r="F141" s="3">
        <f t="shared" si="8"/>
        <v>32.41186247330166</v>
      </c>
      <c r="G141" s="98">
        <f t="shared" si="9"/>
        <v>2.4724947657817422</v>
      </c>
      <c r="H141" s="42">
        <f t="shared" si="10"/>
        <v>18.003828328308728</v>
      </c>
      <c r="I141" s="3"/>
      <c r="J141" s="102"/>
      <c r="K141" s="48" t="b">
        <f t="shared" si="11"/>
        <v>0</v>
      </c>
      <c r="L141" s="50"/>
    </row>
    <row r="142" spans="1:12" x14ac:dyDescent="0.3">
      <c r="A142" s="97">
        <v>40360</v>
      </c>
      <c r="B142" s="91">
        <f>5935353269.97/(10^9)</f>
        <v>5.9353532699700002</v>
      </c>
      <c r="C142" s="91">
        <f>250488686033.71/(10^9)</f>
        <v>250.48868603371</v>
      </c>
      <c r="D142" s="91">
        <f>35205314199.48/(10^9)</f>
        <v>35.20531419948</v>
      </c>
      <c r="E142" s="3">
        <f t="shared" si="8"/>
        <v>237.99831820614</v>
      </c>
      <c r="F142" s="3">
        <f t="shared" si="8"/>
        <v>32.850133605256666</v>
      </c>
      <c r="G142" s="98">
        <f t="shared" si="9"/>
        <v>2.4938635342915112</v>
      </c>
      <c r="H142" s="42">
        <f t="shared" si="10"/>
        <v>18.067972999112026</v>
      </c>
      <c r="I142" s="3"/>
      <c r="J142" s="102"/>
      <c r="K142" s="48" t="b">
        <f t="shared" si="11"/>
        <v>0</v>
      </c>
      <c r="L142" s="50"/>
    </row>
    <row r="143" spans="1:12" x14ac:dyDescent="0.3">
      <c r="A143" s="97">
        <v>40391</v>
      </c>
      <c r="B143" s="91">
        <f>5727837630.37/(10^9)</f>
        <v>5.7278376303699998</v>
      </c>
      <c r="C143" s="91">
        <f>253698445377.2/(10^9)</f>
        <v>253.69844537720002</v>
      </c>
      <c r="D143" s="91">
        <f>35795654570.59/(10^9)</f>
        <v>35.795654570589996</v>
      </c>
      <c r="E143" s="3">
        <f t="shared" si="8"/>
        <v>240.20837177357751</v>
      </c>
      <c r="F143" s="3">
        <f t="shared" si="8"/>
        <v>33.279626573444162</v>
      </c>
      <c r="G143" s="98">
        <f t="shared" si="9"/>
        <v>2.3845287273205904</v>
      </c>
      <c r="H143" s="42">
        <f t="shared" si="10"/>
        <v>17.211243695085781</v>
      </c>
      <c r="I143" s="3"/>
      <c r="J143" s="102"/>
      <c r="K143" s="48" t="b">
        <f t="shared" si="11"/>
        <v>0</v>
      </c>
      <c r="L143" s="50"/>
    </row>
    <row r="144" spans="1:12" x14ac:dyDescent="0.3">
      <c r="A144" s="97">
        <v>40422</v>
      </c>
      <c r="B144" s="91">
        <f>5647995886.94/(10^9)</f>
        <v>5.6479958869399995</v>
      </c>
      <c r="C144" s="91">
        <f>257318237375.57/(10^9)</f>
        <v>257.31823737556999</v>
      </c>
      <c r="D144" s="91">
        <f>36722036046.74/(10^9)</f>
        <v>36.722036046740001</v>
      </c>
      <c r="E144" s="3">
        <f t="shared" si="8"/>
        <v>242.73113298040417</v>
      </c>
      <c r="F144" s="3">
        <f t="shared" si="8"/>
        <v>33.751559652983332</v>
      </c>
      <c r="G144" s="98">
        <f t="shared" si="9"/>
        <v>2.3268526857640324</v>
      </c>
      <c r="H144" s="42">
        <f t="shared" si="10"/>
        <v>16.734029316007529</v>
      </c>
      <c r="I144" s="3"/>
      <c r="J144" s="102"/>
      <c r="K144" s="48" t="b">
        <f t="shared" si="11"/>
        <v>0</v>
      </c>
      <c r="L144" s="50"/>
    </row>
    <row r="145" spans="1:12" x14ac:dyDescent="0.3">
      <c r="A145" s="97">
        <v>40452</v>
      </c>
      <c r="B145" s="91">
        <f>5778771003.76999/(10^9)</f>
        <v>5.7787710037699895</v>
      </c>
      <c r="C145" s="91">
        <f>262226106826.69/(10^9)</f>
        <v>262.22610682669</v>
      </c>
      <c r="D145" s="91">
        <f>37403247404.64/(10^9)</f>
        <v>37.403247404639998</v>
      </c>
      <c r="E145" s="3">
        <f t="shared" si="8"/>
        <v>245.2990874932683</v>
      </c>
      <c r="F145" s="3">
        <f t="shared" si="8"/>
        <v>34.228274601118336</v>
      </c>
      <c r="G145" s="98">
        <f t="shared" si="9"/>
        <v>2.3558061559966363</v>
      </c>
      <c r="H145" s="42">
        <f t="shared" si="10"/>
        <v>16.883033314162965</v>
      </c>
      <c r="I145" s="3"/>
      <c r="J145" s="102"/>
      <c r="K145" s="48" t="b">
        <f t="shared" si="11"/>
        <v>0</v>
      </c>
      <c r="L145" s="50"/>
    </row>
    <row r="146" spans="1:12" x14ac:dyDescent="0.3">
      <c r="A146" s="97">
        <v>40483</v>
      </c>
      <c r="B146" s="91">
        <f>5712735174.75/(10^9)</f>
        <v>5.7127351747499997</v>
      </c>
      <c r="C146" s="91">
        <f>266422786264.42/(10^9)</f>
        <v>266.42278626442004</v>
      </c>
      <c r="D146" s="91">
        <f>37705783784.1/(10^9)</f>
        <v>37.705783784099999</v>
      </c>
      <c r="E146" s="3">
        <f t="shared" si="8"/>
        <v>247.87619943954999</v>
      </c>
      <c r="F146" s="3">
        <f t="shared" si="8"/>
        <v>34.703865890208334</v>
      </c>
      <c r="G146" s="98">
        <f t="shared" si="9"/>
        <v>2.3046727308497301</v>
      </c>
      <c r="H146" s="42">
        <f t="shared" si="10"/>
        <v>16.461379815214887</v>
      </c>
      <c r="I146" s="3"/>
      <c r="J146" s="102"/>
      <c r="K146" s="48" t="b">
        <f t="shared" si="11"/>
        <v>0</v>
      </c>
      <c r="L146" s="50"/>
    </row>
    <row r="147" spans="1:12" x14ac:dyDescent="0.3">
      <c r="A147" s="97">
        <v>40513</v>
      </c>
      <c r="B147" s="91">
        <f>5914501320.56/(10^9)</f>
        <v>5.9145013205600003</v>
      </c>
      <c r="C147" s="91">
        <f>270532601117.21/(10^9)</f>
        <v>270.53260111720999</v>
      </c>
      <c r="D147" s="91">
        <f>37841516037.09/(10^9)</f>
        <v>37.841516037089995</v>
      </c>
      <c r="E147" s="3">
        <f t="shared" si="8"/>
        <v>250.83092939328665</v>
      </c>
      <c r="F147" s="3">
        <f t="shared" si="8"/>
        <v>35.120759632089168</v>
      </c>
      <c r="G147" s="98">
        <f t="shared" si="9"/>
        <v>2.3579633240868971</v>
      </c>
      <c r="H147" s="42">
        <f t="shared" si="10"/>
        <v>16.840470942308531</v>
      </c>
      <c r="I147" s="3"/>
      <c r="J147" s="102"/>
      <c r="K147" s="48" t="b">
        <f t="shared" si="11"/>
        <v>0</v>
      </c>
      <c r="L147" s="50"/>
    </row>
    <row r="148" spans="1:12" x14ac:dyDescent="0.3">
      <c r="A148" s="97">
        <v>40544</v>
      </c>
      <c r="B148" s="91">
        <f>6069997853.99/(10^9)</f>
        <v>6.0699978539899995</v>
      </c>
      <c r="C148" s="91">
        <f>275557152556.34/(10^9)</f>
        <v>275.55715255634004</v>
      </c>
      <c r="D148" s="91">
        <f>38152943586.1/(10^9)</f>
        <v>38.152943586100001</v>
      </c>
      <c r="E148" s="3">
        <f t="shared" si="8"/>
        <v>253.87671039858171</v>
      </c>
      <c r="F148" s="3">
        <f t="shared" si="8"/>
        <v>35.562944269249165</v>
      </c>
      <c r="G148" s="98">
        <f t="shared" si="9"/>
        <v>2.3909234700812911</v>
      </c>
      <c r="H148" s="42">
        <f t="shared" si="10"/>
        <v>17.068322037775289</v>
      </c>
      <c r="I148" s="3"/>
      <c r="J148" s="102"/>
      <c r="K148" s="48" t="b">
        <f t="shared" si="11"/>
        <v>0</v>
      </c>
      <c r="L148" s="50"/>
    </row>
    <row r="149" spans="1:12" x14ac:dyDescent="0.3">
      <c r="A149" s="97">
        <v>40575</v>
      </c>
      <c r="B149" s="91">
        <f>5999963662.72/(10^9)</f>
        <v>5.9999636627199999</v>
      </c>
      <c r="C149" s="91">
        <f>280509265931.24/(10^9)</f>
        <v>280.50926593124001</v>
      </c>
      <c r="D149" s="91">
        <f>38521520284.48/(10^9)</f>
        <v>38.521520284480005</v>
      </c>
      <c r="E149" s="3">
        <f t="shared" si="8"/>
        <v>257.2383206201975</v>
      </c>
      <c r="F149" s="3">
        <f t="shared" si="8"/>
        <v>35.98555157773</v>
      </c>
      <c r="G149" s="98">
        <f t="shared" si="9"/>
        <v>2.3324532862188585</v>
      </c>
      <c r="H149" s="42">
        <f t="shared" si="10"/>
        <v>16.673257459344139</v>
      </c>
      <c r="I149" s="3"/>
      <c r="J149" s="102"/>
      <c r="K149" s="48" t="b">
        <f t="shared" si="11"/>
        <v>0</v>
      </c>
      <c r="L149" s="50"/>
    </row>
    <row r="150" spans="1:12" x14ac:dyDescent="0.3">
      <c r="A150" s="97">
        <v>40603</v>
      </c>
      <c r="B150" s="91">
        <f>6242540432.97/(10^9)</f>
        <v>6.2425404329700003</v>
      </c>
      <c r="C150" s="91">
        <f>286463184749.54/(10^9)</f>
        <v>286.46318474954001</v>
      </c>
      <c r="D150" s="91">
        <f>40447327361.47/(10^9)</f>
        <v>40.447327361470002</v>
      </c>
      <c r="E150" s="3">
        <f t="shared" si="8"/>
        <v>261.1105021905725</v>
      </c>
      <c r="F150" s="3">
        <f t="shared" si="8"/>
        <v>36.634745536263331</v>
      </c>
      <c r="G150" s="98">
        <f t="shared" si="9"/>
        <v>2.3907657411703256</v>
      </c>
      <c r="H150" s="42">
        <f t="shared" si="10"/>
        <v>17.039944843593219</v>
      </c>
      <c r="I150" s="3"/>
      <c r="J150" s="102"/>
      <c r="K150" s="48" t="b">
        <f t="shared" si="11"/>
        <v>0</v>
      </c>
      <c r="L150" s="50"/>
    </row>
    <row r="151" spans="1:12" x14ac:dyDescent="0.3">
      <c r="A151" s="97">
        <v>40634</v>
      </c>
      <c r="B151" s="91">
        <f>6216979103.95/(10^9)</f>
        <v>6.21697910395</v>
      </c>
      <c r="C151" s="91">
        <f>288130967338.36/(10^9)</f>
        <v>288.13096733835999</v>
      </c>
      <c r="D151" s="91">
        <f>40725954678.64/(10^9)</f>
        <v>40.725954678640001</v>
      </c>
      <c r="E151" s="3">
        <f t="shared" si="8"/>
        <v>264.89663539767832</v>
      </c>
      <c r="F151" s="3">
        <f t="shared" si="8"/>
        <v>37.241396139872499</v>
      </c>
      <c r="G151" s="98">
        <f t="shared" si="9"/>
        <v>2.3469452885336604</v>
      </c>
      <c r="H151" s="42">
        <f t="shared" si="10"/>
        <v>16.693732642568122</v>
      </c>
      <c r="I151" s="3"/>
      <c r="J151" s="102"/>
      <c r="K151" s="48" t="b">
        <f t="shared" si="11"/>
        <v>0</v>
      </c>
      <c r="L151" s="50"/>
    </row>
    <row r="152" spans="1:12" x14ac:dyDescent="0.3">
      <c r="A152" s="97">
        <v>40664</v>
      </c>
      <c r="B152" s="91">
        <f>6308174908.45/(10^9)</f>
        <v>6.3081749084499998</v>
      </c>
      <c r="C152" s="91">
        <f>289507453182.92/(10^9)</f>
        <v>289.50745318291996</v>
      </c>
      <c r="D152" s="91">
        <f>40884315273.48/(10^9)</f>
        <v>40.884315273480006</v>
      </c>
      <c r="E152" s="3">
        <f t="shared" si="8"/>
        <v>269.02698467505667</v>
      </c>
      <c r="F152" s="3">
        <f t="shared" si="8"/>
        <v>37.82119595322083</v>
      </c>
      <c r="G152" s="98">
        <f t="shared" si="9"/>
        <v>2.3448112151534937</v>
      </c>
      <c r="H152" s="42">
        <f t="shared" si="10"/>
        <v>16.67894086758195</v>
      </c>
      <c r="I152" s="3"/>
      <c r="J152" s="102"/>
      <c r="K152" s="48" t="b">
        <f t="shared" si="11"/>
        <v>0</v>
      </c>
      <c r="L152" s="50"/>
    </row>
    <row r="153" spans="1:12" x14ac:dyDescent="0.3">
      <c r="A153" s="97">
        <v>40695</v>
      </c>
      <c r="B153" s="91">
        <f>6376401304.68/(10^9)</f>
        <v>6.3764013046799999</v>
      </c>
      <c r="C153" s="91">
        <f>296200410654.38/(10^9)</f>
        <v>296.20041065437999</v>
      </c>
      <c r="D153" s="91">
        <f>41921779966.8/(10^9)</f>
        <v>41.921779966800003</v>
      </c>
      <c r="E153" s="3">
        <f t="shared" si="8"/>
        <v>273.08794145063166</v>
      </c>
      <c r="F153" s="3">
        <f t="shared" si="8"/>
        <v>38.443949432800828</v>
      </c>
      <c r="G153" s="98">
        <f t="shared" si="9"/>
        <v>2.3349259842118344</v>
      </c>
      <c r="H153" s="42">
        <f t="shared" si="10"/>
        <v>16.586228519069842</v>
      </c>
      <c r="I153" s="3"/>
      <c r="J153" s="102"/>
      <c r="K153" s="48" t="b">
        <f t="shared" si="11"/>
        <v>0</v>
      </c>
      <c r="L153" s="50"/>
    </row>
    <row r="154" spans="1:12" x14ac:dyDescent="0.3">
      <c r="A154" s="97">
        <v>40725</v>
      </c>
      <c r="B154" s="91">
        <f>6338038436.79/(10^9)</f>
        <v>6.3380384367899998</v>
      </c>
      <c r="C154" s="91">
        <f>297379775445.8/(10^9)</f>
        <v>297.37977544579996</v>
      </c>
      <c r="D154" s="91">
        <f>42483239166.72/(10^9)</f>
        <v>42.483239166720004</v>
      </c>
      <c r="E154" s="3">
        <f t="shared" si="8"/>
        <v>276.99553223497247</v>
      </c>
      <c r="F154" s="3">
        <f t="shared" si="8"/>
        <v>39.050443180070836</v>
      </c>
      <c r="G154" s="98">
        <f t="shared" si="9"/>
        <v>2.2881374243298289</v>
      </c>
      <c r="H154" s="42">
        <f t="shared" si="10"/>
        <v>16.230387981933532</v>
      </c>
      <c r="I154" s="3"/>
      <c r="J154" s="102"/>
      <c r="K154" s="48" t="b">
        <f t="shared" si="11"/>
        <v>0</v>
      </c>
      <c r="L154" s="50"/>
    </row>
    <row r="155" spans="1:12" x14ac:dyDescent="0.3">
      <c r="A155" s="97">
        <v>40756</v>
      </c>
      <c r="B155" s="91">
        <f>6291764444.18/(10^9)</f>
        <v>6.29176444418</v>
      </c>
      <c r="C155" s="91">
        <f>304977356960.73/(10^9)</f>
        <v>304.97735696072999</v>
      </c>
      <c r="D155" s="91">
        <f>43173965099.18/(10^9)</f>
        <v>43.173965099180002</v>
      </c>
      <c r="E155" s="3">
        <f t="shared" si="8"/>
        <v>281.26877486693337</v>
      </c>
      <c r="F155" s="3">
        <f t="shared" si="8"/>
        <v>39.665302390786671</v>
      </c>
      <c r="G155" s="98">
        <f t="shared" si="9"/>
        <v>2.236922476430808</v>
      </c>
      <c r="H155" s="42">
        <f t="shared" si="10"/>
        <v>15.862136590294673</v>
      </c>
      <c r="I155" s="3"/>
      <c r="J155" s="102"/>
      <c r="K155" s="48" t="b">
        <f t="shared" si="11"/>
        <v>0</v>
      </c>
      <c r="L155" s="50"/>
    </row>
    <row r="156" spans="1:12" x14ac:dyDescent="0.3">
      <c r="A156" s="97">
        <v>40787</v>
      </c>
      <c r="B156" s="91">
        <f>6484079453.73/(10^9)</f>
        <v>6.4840794537299997</v>
      </c>
      <c r="C156" s="91">
        <f>310687473111.79/(10^9)</f>
        <v>310.68747311178998</v>
      </c>
      <c r="D156" s="91">
        <f>43327180062.33/(10^9)</f>
        <v>43.327180062330001</v>
      </c>
      <c r="E156" s="3">
        <f t="shared" si="8"/>
        <v>285.71621117828505</v>
      </c>
      <c r="F156" s="3">
        <f t="shared" si="8"/>
        <v>40.215731058752503</v>
      </c>
      <c r="G156" s="98">
        <f t="shared" si="9"/>
        <v>2.2694125149531597</v>
      </c>
      <c r="H156" s="42">
        <f t="shared" si="10"/>
        <v>16.123241535152481</v>
      </c>
      <c r="I156" s="3"/>
      <c r="J156" s="102"/>
      <c r="K156" s="48" t="b">
        <f t="shared" si="11"/>
        <v>0</v>
      </c>
      <c r="L156" s="50"/>
    </row>
    <row r="157" spans="1:12" x14ac:dyDescent="0.3">
      <c r="A157" s="97">
        <v>40817</v>
      </c>
      <c r="B157" s="91">
        <f>6568273351.14/(10^9)</f>
        <v>6.5682733511400002</v>
      </c>
      <c r="C157" s="91">
        <f>312676857291.01/(10^9)</f>
        <v>312.67685729101004</v>
      </c>
      <c r="D157" s="91">
        <f>44100268158.82/(10^9)</f>
        <v>44.100268158820001</v>
      </c>
      <c r="E157" s="3">
        <f t="shared" si="8"/>
        <v>289.92044038364503</v>
      </c>
      <c r="F157" s="3">
        <f t="shared" si="8"/>
        <v>40.773816121600838</v>
      </c>
      <c r="G157" s="98">
        <f t="shared" si="9"/>
        <v>2.2655433823321856</v>
      </c>
      <c r="H157" s="42">
        <f t="shared" si="10"/>
        <v>16.109047364002581</v>
      </c>
      <c r="I157" s="3"/>
      <c r="J157" s="102"/>
      <c r="K157" s="48" t="b">
        <f t="shared" si="11"/>
        <v>0</v>
      </c>
      <c r="L157" s="50"/>
    </row>
    <row r="158" spans="1:12" x14ac:dyDescent="0.3">
      <c r="A158" s="97">
        <v>40848</v>
      </c>
      <c r="B158" s="91">
        <f>6697738197.31001/(10^9)</f>
        <v>6.6977381973100103</v>
      </c>
      <c r="C158" s="91">
        <f>322530231677.78/(10^9)</f>
        <v>322.53023167778002</v>
      </c>
      <c r="D158" s="91">
        <f>44410153338.74/(10^9)</f>
        <v>44.410153338739995</v>
      </c>
      <c r="E158" s="3">
        <f t="shared" si="8"/>
        <v>294.59606083475836</v>
      </c>
      <c r="F158" s="3">
        <f t="shared" si="8"/>
        <v>41.332513584487494</v>
      </c>
      <c r="G158" s="98">
        <f t="shared" si="9"/>
        <v>2.2735328430161301</v>
      </c>
      <c r="H158" s="42">
        <f t="shared" si="10"/>
        <v>16.204526694509426</v>
      </c>
      <c r="I158" s="3"/>
      <c r="J158" s="102"/>
      <c r="K158" s="48" t="b">
        <f t="shared" si="11"/>
        <v>0</v>
      </c>
      <c r="L158" s="50"/>
    </row>
    <row r="159" spans="1:12" x14ac:dyDescent="0.3">
      <c r="A159" s="97">
        <v>40878</v>
      </c>
      <c r="B159" s="91">
        <f>6860696105.79/(10^9)</f>
        <v>6.8606961057899998</v>
      </c>
      <c r="C159" s="91">
        <f>325743208097.92/(10^9)</f>
        <v>325.74320809791999</v>
      </c>
      <c r="D159" s="91">
        <f>45857636324.86/(10^9)</f>
        <v>45.857636324860003</v>
      </c>
      <c r="E159" s="3">
        <f t="shared" si="8"/>
        <v>299.19694474981753</v>
      </c>
      <c r="F159" s="3">
        <f t="shared" si="8"/>
        <v>42.000523608468335</v>
      </c>
      <c r="G159" s="98">
        <f t="shared" si="9"/>
        <v>2.2930368194524098</v>
      </c>
      <c r="H159" s="42">
        <f t="shared" si="10"/>
        <v>16.334787084432243</v>
      </c>
      <c r="I159" s="3"/>
      <c r="J159" s="102"/>
      <c r="K159" s="48" t="b">
        <f t="shared" si="11"/>
        <v>0</v>
      </c>
      <c r="L159" s="50"/>
    </row>
    <row r="160" spans="1:12" x14ac:dyDescent="0.3">
      <c r="A160" s="97">
        <v>40909</v>
      </c>
      <c r="B160" s="91">
        <f>6914789076.72487/(10^9)</f>
        <v>6.9147890767248699</v>
      </c>
      <c r="C160" s="91">
        <f>324696643951.111/(10^9)</f>
        <v>324.69664395111101</v>
      </c>
      <c r="D160" s="91">
        <f>46652532635.2814/(10^9)</f>
        <v>46.652532635281403</v>
      </c>
      <c r="E160" s="3">
        <f t="shared" si="8"/>
        <v>303.29190236604848</v>
      </c>
      <c r="F160" s="3">
        <f t="shared" si="8"/>
        <v>42.708822695900118</v>
      </c>
      <c r="G160" s="98">
        <f t="shared" si="9"/>
        <v>2.2799121977148227</v>
      </c>
      <c r="H160" s="42">
        <f t="shared" si="10"/>
        <v>16.190540127880094</v>
      </c>
      <c r="I160" s="3"/>
      <c r="J160" s="102"/>
      <c r="K160" s="48" t="b">
        <f t="shared" si="11"/>
        <v>0</v>
      </c>
      <c r="L160" s="50"/>
    </row>
    <row r="161" spans="1:12" x14ac:dyDescent="0.3">
      <c r="A161" s="97">
        <v>40940</v>
      </c>
      <c r="B161" s="91">
        <f>6990777274.97103/(10^9)</f>
        <v>6.9907772749710304</v>
      </c>
      <c r="C161" s="91">
        <f>329611855183.789/(10^9)</f>
        <v>329.61185518378898</v>
      </c>
      <c r="D161" s="91">
        <f>48771792168.7076/(10^9)</f>
        <v>48.771792168707606</v>
      </c>
      <c r="E161" s="3">
        <f t="shared" si="8"/>
        <v>307.38378480376088</v>
      </c>
      <c r="F161" s="3">
        <f t="shared" si="8"/>
        <v>43.563012019585756</v>
      </c>
      <c r="G161" s="98">
        <f t="shared" si="9"/>
        <v>2.2742830365739897</v>
      </c>
      <c r="H161" s="42">
        <f t="shared" si="10"/>
        <v>16.047506705523496</v>
      </c>
      <c r="I161" s="3"/>
      <c r="J161" s="102"/>
      <c r="K161" s="48" t="b">
        <f t="shared" si="11"/>
        <v>0</v>
      </c>
      <c r="L161" s="50"/>
    </row>
    <row r="162" spans="1:12" x14ac:dyDescent="0.3">
      <c r="A162" s="97">
        <v>40969</v>
      </c>
      <c r="B162" s="91">
        <f>7081362288.74184/(10^9)</f>
        <v>7.0813622887418406</v>
      </c>
      <c r="C162" s="91">
        <f>333679169234.013/(10^9)</f>
        <v>333.67916923401299</v>
      </c>
      <c r="D162" s="91">
        <f>48116068566.1184/(10^9)</f>
        <v>48.1160685661184</v>
      </c>
      <c r="E162" s="3">
        <f t="shared" si="8"/>
        <v>311.31845017746696</v>
      </c>
      <c r="F162" s="3">
        <f t="shared" si="8"/>
        <v>44.202073786639794</v>
      </c>
      <c r="G162" s="98">
        <f t="shared" si="9"/>
        <v>2.2746362397426534</v>
      </c>
      <c r="H162" s="42">
        <f t="shared" si="10"/>
        <v>16.020429998201134</v>
      </c>
      <c r="I162" s="3"/>
      <c r="J162" s="102"/>
      <c r="K162" s="48" t="b">
        <f t="shared" si="11"/>
        <v>0</v>
      </c>
      <c r="L162" s="50"/>
    </row>
    <row r="163" spans="1:12" x14ac:dyDescent="0.3">
      <c r="A163" s="97">
        <v>41000</v>
      </c>
      <c r="B163" s="91">
        <f>7152660825.88/(10^9)</f>
        <v>7.15266082588</v>
      </c>
      <c r="C163" s="91">
        <f>335120822270.78/(10^9)</f>
        <v>335.12082227078002</v>
      </c>
      <c r="D163" s="91">
        <f>48906176185.89/(10^9)</f>
        <v>48.906176185889997</v>
      </c>
      <c r="E163" s="3">
        <f t="shared" si="8"/>
        <v>315.23427142183527</v>
      </c>
      <c r="F163" s="3">
        <f t="shared" si="8"/>
        <v>44.883758912243955</v>
      </c>
      <c r="G163" s="98">
        <f t="shared" si="9"/>
        <v>2.2689984796445448</v>
      </c>
      <c r="H163" s="42">
        <f t="shared" si="10"/>
        <v>15.935966592871095</v>
      </c>
      <c r="I163" s="3"/>
      <c r="J163" s="102"/>
      <c r="K163" s="48" t="b">
        <f t="shared" si="11"/>
        <v>0</v>
      </c>
      <c r="L163" s="50"/>
    </row>
    <row r="164" spans="1:12" x14ac:dyDescent="0.3">
      <c r="A164" s="97">
        <v>41030</v>
      </c>
      <c r="B164" s="91">
        <f>7159799464.59/(10^9)</f>
        <v>7.1597994645899998</v>
      </c>
      <c r="C164" s="91">
        <f>337121702657.3/(10^9)</f>
        <v>337.12170265729998</v>
      </c>
      <c r="D164" s="91">
        <f>49363682971.17/(10^9)</f>
        <v>49.36368297117</v>
      </c>
      <c r="E164" s="3">
        <f t="shared" si="8"/>
        <v>319.20212554470027</v>
      </c>
      <c r="F164" s="3">
        <f t="shared" si="8"/>
        <v>45.590372887051451</v>
      </c>
      <c r="G164" s="98">
        <f t="shared" si="9"/>
        <v>2.2430300087670814</v>
      </c>
      <c r="H164" s="42">
        <f t="shared" si="10"/>
        <v>15.704630190957532</v>
      </c>
      <c r="I164" s="3"/>
      <c r="J164" s="102"/>
      <c r="K164" s="48" t="b">
        <f t="shared" si="11"/>
        <v>0</v>
      </c>
      <c r="L164" s="50"/>
    </row>
    <row r="165" spans="1:12" x14ac:dyDescent="0.3">
      <c r="A165" s="97">
        <v>41061</v>
      </c>
      <c r="B165" s="91">
        <f>7258954727.62/(10^9)</f>
        <v>7.2589547276199999</v>
      </c>
      <c r="C165" s="91">
        <f>345564841849.07/(10^9)</f>
        <v>345.56484184907004</v>
      </c>
      <c r="D165" s="91">
        <f>49663396711.83/(10^9)</f>
        <v>49.663396711830003</v>
      </c>
      <c r="E165" s="3">
        <f t="shared" si="8"/>
        <v>323.31582814425775</v>
      </c>
      <c r="F165" s="3">
        <f t="shared" si="8"/>
        <v>46.235507615803954</v>
      </c>
      <c r="G165" s="98">
        <f t="shared" si="9"/>
        <v>2.2451590969994775</v>
      </c>
      <c r="H165" s="42">
        <f t="shared" si="10"/>
        <v>15.699956812280755</v>
      </c>
      <c r="I165" s="3"/>
      <c r="J165" s="102"/>
      <c r="K165" s="48" t="b">
        <f t="shared" si="11"/>
        <v>0</v>
      </c>
      <c r="L165" s="50"/>
    </row>
    <row r="166" spans="1:12" x14ac:dyDescent="0.3">
      <c r="A166" s="97">
        <v>41091</v>
      </c>
      <c r="B166" s="91">
        <f>7245266649.25/(10^9)</f>
        <v>7.2452666492500004</v>
      </c>
      <c r="C166" s="91">
        <f>346261455252.88/(10^9)</f>
        <v>346.26145525288001</v>
      </c>
      <c r="D166" s="91">
        <f>50675985677.34/(10^9)</f>
        <v>50.675985677339995</v>
      </c>
      <c r="E166" s="3">
        <f t="shared" si="8"/>
        <v>327.38930146151444</v>
      </c>
      <c r="F166" s="3">
        <f t="shared" si="8"/>
        <v>46.918236491688958</v>
      </c>
      <c r="G166" s="98">
        <f t="shared" si="9"/>
        <v>2.2130431925863352</v>
      </c>
      <c r="H166" s="42">
        <f t="shared" si="10"/>
        <v>15.442325183158617</v>
      </c>
      <c r="I166" s="3"/>
      <c r="J166" s="102"/>
      <c r="K166" s="48" t="b">
        <f t="shared" si="11"/>
        <v>0</v>
      </c>
      <c r="L166" s="50"/>
    </row>
    <row r="167" spans="1:12" x14ac:dyDescent="0.3">
      <c r="A167" s="97">
        <v>41122</v>
      </c>
      <c r="B167" s="91">
        <f>7275364953.89/(10^9)</f>
        <v>7.2753649538900005</v>
      </c>
      <c r="C167" s="91">
        <f>349775531625.74/(10^9)</f>
        <v>349.77553162573997</v>
      </c>
      <c r="D167" s="91">
        <f>51085844900.1/(10^9)</f>
        <v>51.0858449001</v>
      </c>
      <c r="E167" s="3">
        <f t="shared" si="8"/>
        <v>331.12248268359855</v>
      </c>
      <c r="F167" s="3">
        <f t="shared" si="8"/>
        <v>47.577559808432291</v>
      </c>
      <c r="G167" s="98">
        <f t="shared" si="9"/>
        <v>2.1971824126608515</v>
      </c>
      <c r="H167" s="42">
        <f t="shared" si="10"/>
        <v>15.291589108781004</v>
      </c>
      <c r="I167" s="3"/>
      <c r="J167" s="102"/>
      <c r="K167" s="48" t="b">
        <f t="shared" si="11"/>
        <v>0</v>
      </c>
      <c r="L167" s="50"/>
    </row>
    <row r="168" spans="1:12" x14ac:dyDescent="0.3">
      <c r="A168" s="97">
        <v>41153</v>
      </c>
      <c r="B168" s="91">
        <f>7166082604.27/(10^9)</f>
        <v>7.1660826042700005</v>
      </c>
      <c r="C168" s="91">
        <f>359852897625.45/(10^9)</f>
        <v>359.85289762545</v>
      </c>
      <c r="D168" s="91">
        <f>51282817678.85/(10^9)</f>
        <v>51.282817678850002</v>
      </c>
      <c r="E168" s="3">
        <f t="shared" si="8"/>
        <v>335.21960139307026</v>
      </c>
      <c r="F168" s="3">
        <f t="shared" si="8"/>
        <v>48.240529609808959</v>
      </c>
      <c r="G168" s="98">
        <f t="shared" si="9"/>
        <v>2.1377277982820666</v>
      </c>
      <c r="H168" s="42">
        <f t="shared" si="10"/>
        <v>14.854900355017847</v>
      </c>
      <c r="I168" s="3"/>
      <c r="J168" s="102"/>
      <c r="K168" s="48" t="b">
        <f t="shared" si="11"/>
        <v>0</v>
      </c>
      <c r="L168" s="50"/>
    </row>
    <row r="169" spans="1:12" x14ac:dyDescent="0.3">
      <c r="A169" s="97">
        <v>41183</v>
      </c>
      <c r="B169" s="91">
        <f>7139701011.17/(10^9)</f>
        <v>7.1397010111699997</v>
      </c>
      <c r="C169" s="91">
        <f>362363849449.08/(10^9)</f>
        <v>362.36384944908002</v>
      </c>
      <c r="D169" s="91">
        <f>52125657864.87/(10^9)</f>
        <v>52.12565786487</v>
      </c>
      <c r="E169" s="3">
        <f t="shared" si="8"/>
        <v>339.36018407290942</v>
      </c>
      <c r="F169" s="3">
        <f t="shared" si="8"/>
        <v>48.909312085313125</v>
      </c>
      <c r="G169" s="98">
        <f t="shared" si="9"/>
        <v>2.1038711511413135</v>
      </c>
      <c r="H169" s="42">
        <f t="shared" si="10"/>
        <v>14.597835681508114</v>
      </c>
      <c r="I169" s="3"/>
      <c r="J169" s="102"/>
      <c r="K169" s="48" t="b">
        <f t="shared" si="11"/>
        <v>0</v>
      </c>
      <c r="L169" s="50"/>
    </row>
    <row r="170" spans="1:12" x14ac:dyDescent="0.3">
      <c r="A170" s="97">
        <v>41214</v>
      </c>
      <c r="B170" s="91">
        <f>7220923628.11/(10^9)</f>
        <v>7.2209236281099995</v>
      </c>
      <c r="C170" s="91">
        <f>364336559909.19/(10^9)</f>
        <v>364.33655990918999</v>
      </c>
      <c r="D170" s="91">
        <f>52569449647.58/(10^9)</f>
        <v>52.569449647580001</v>
      </c>
      <c r="E170" s="3">
        <f t="shared" si="8"/>
        <v>342.84404475886026</v>
      </c>
      <c r="F170" s="3">
        <f t="shared" si="8"/>
        <v>49.589253444383111</v>
      </c>
      <c r="G170" s="98">
        <f t="shared" si="9"/>
        <v>2.1061831869323684</v>
      </c>
      <c r="H170" s="42">
        <f t="shared" si="10"/>
        <v>14.561468718638073</v>
      </c>
      <c r="I170" s="3"/>
      <c r="J170" s="102"/>
      <c r="K170" s="48" t="b">
        <f t="shared" si="11"/>
        <v>0</v>
      </c>
      <c r="L170" s="50"/>
    </row>
    <row r="171" spans="1:12" x14ac:dyDescent="0.3">
      <c r="A171" s="97">
        <v>41244</v>
      </c>
      <c r="B171" s="91">
        <f>7361425816.56/(10^9)</f>
        <v>7.3614258165600006</v>
      </c>
      <c r="C171" s="91">
        <f>372794237906.87/(10^9)</f>
        <v>372.79423790687002</v>
      </c>
      <c r="D171" s="91">
        <f>54295855825.31/(10^9)</f>
        <v>54.295855825309999</v>
      </c>
      <c r="E171" s="3">
        <f t="shared" si="8"/>
        <v>346.76496390960614</v>
      </c>
      <c r="F171" s="3">
        <f t="shared" si="8"/>
        <v>50.292438402753952</v>
      </c>
      <c r="G171" s="98">
        <f t="shared" si="9"/>
        <v>2.1228862724663728</v>
      </c>
      <c r="H171" s="42">
        <f t="shared" si="10"/>
        <v>14.637241800860659</v>
      </c>
      <c r="I171" s="3"/>
      <c r="J171" s="102"/>
      <c r="K171" s="48" t="b">
        <f t="shared" si="11"/>
        <v>0</v>
      </c>
      <c r="L171" s="50"/>
    </row>
    <row r="172" spans="1:12" x14ac:dyDescent="0.3">
      <c r="A172" s="97">
        <v>41275</v>
      </c>
      <c r="B172" s="91">
        <f>7409901386.86513/(10^9)</f>
        <v>7.4099013868651307</v>
      </c>
      <c r="C172" s="91">
        <f>373262095838.34/(10^9)</f>
        <v>373.26209583834003</v>
      </c>
      <c r="D172" s="91">
        <f>54924137177.39/(10^9)</f>
        <v>54.924137177390001</v>
      </c>
      <c r="E172" s="3">
        <f t="shared" si="8"/>
        <v>350.8120849002085</v>
      </c>
      <c r="F172" s="3">
        <f t="shared" si="8"/>
        <v>50.981738781262997</v>
      </c>
      <c r="G172" s="98">
        <f t="shared" si="9"/>
        <v>2.1122138335037519</v>
      </c>
      <c r="H172" s="42">
        <f t="shared" si="10"/>
        <v>14.534422646228862</v>
      </c>
      <c r="I172" s="3"/>
      <c r="J172" s="3"/>
      <c r="K172" s="48" t="b">
        <f t="shared" si="11"/>
        <v>0</v>
      </c>
      <c r="L172" s="50"/>
    </row>
    <row r="173" spans="1:12" x14ac:dyDescent="0.3">
      <c r="A173" s="97">
        <v>41306</v>
      </c>
      <c r="B173" s="91">
        <f>7761119652.84897/(10^9)</f>
        <v>7.7611196528489703</v>
      </c>
      <c r="C173" s="91">
        <f>378251115682.85/(10^9)</f>
        <v>378.25111568284996</v>
      </c>
      <c r="D173" s="91">
        <f>55993796452.29/(10^9)</f>
        <v>55.993796452289999</v>
      </c>
      <c r="E173" s="3">
        <f t="shared" si="8"/>
        <v>354.86535660846357</v>
      </c>
      <c r="F173" s="3">
        <f t="shared" si="8"/>
        <v>51.583572471561524</v>
      </c>
      <c r="G173" s="98">
        <f t="shared" si="9"/>
        <v>2.1870603901783818</v>
      </c>
      <c r="H173" s="42">
        <f t="shared" si="10"/>
        <v>15.045719559512369</v>
      </c>
      <c r="I173" s="3">
        <f t="shared" ref="I173:I231" si="12">AVERAGE($G$173:$G$232)</f>
        <v>1.9379764437467331</v>
      </c>
      <c r="J173" s="3">
        <f>AVERAGE($H$173:$H$232)</f>
        <v>13.679137989445179</v>
      </c>
      <c r="K173" s="48" t="b">
        <f t="shared" si="11"/>
        <v>0</v>
      </c>
      <c r="L173" s="50"/>
    </row>
    <row r="174" spans="1:12" x14ac:dyDescent="0.3">
      <c r="A174" s="97">
        <v>41334</v>
      </c>
      <c r="B174" s="91">
        <f>7739946032.46816/(10^9)</f>
        <v>7.7399460324681595</v>
      </c>
      <c r="C174" s="91">
        <f>385008598765.62/(10^9)</f>
        <v>385.00859876561998</v>
      </c>
      <c r="D174" s="91">
        <f>54863441297.4/(10^9)</f>
        <v>54.863441297400001</v>
      </c>
      <c r="E174" s="3">
        <f t="shared" si="8"/>
        <v>359.14280906943083</v>
      </c>
      <c r="F174" s="102">
        <f t="shared" si="8"/>
        <v>52.145853532501661</v>
      </c>
      <c r="G174" s="103">
        <f t="shared" si="9"/>
        <v>2.1551165266326811</v>
      </c>
      <c r="H174" s="42">
        <f t="shared" si="10"/>
        <v>14.842879170908532</v>
      </c>
      <c r="I174" s="3">
        <f t="shared" si="12"/>
        <v>1.9379764437467331</v>
      </c>
      <c r="J174" s="3">
        <f t="shared" ref="J174:J232" si="13">AVERAGE($H$173:$H$232)</f>
        <v>13.679137989445179</v>
      </c>
      <c r="K174" s="48" t="b">
        <f t="shared" si="11"/>
        <v>0</v>
      </c>
      <c r="L174" s="50"/>
    </row>
    <row r="175" spans="1:12" x14ac:dyDescent="0.3">
      <c r="A175" s="97">
        <v>41365</v>
      </c>
      <c r="B175" s="91">
        <f>7790632092.32/(10^9)</f>
        <v>7.7906320923200001</v>
      </c>
      <c r="C175" s="91">
        <f>390158226602.61/(10^9)</f>
        <v>390.15822660261</v>
      </c>
      <c r="D175" s="91">
        <f>55299095445.84/(10^9)</f>
        <v>55.299095445839995</v>
      </c>
      <c r="E175" s="3">
        <f t="shared" si="8"/>
        <v>363.72925943041668</v>
      </c>
      <c r="F175" s="102">
        <f t="shared" si="8"/>
        <v>52.678596804164158</v>
      </c>
      <c r="G175" s="103">
        <f t="shared" si="9"/>
        <v>2.1418766542234664</v>
      </c>
      <c r="H175" s="42">
        <f t="shared" si="10"/>
        <v>14.788989390287183</v>
      </c>
      <c r="I175" s="3">
        <f t="shared" si="12"/>
        <v>1.9379764437467331</v>
      </c>
      <c r="J175" s="3">
        <f t="shared" si="13"/>
        <v>13.679137989445179</v>
      </c>
      <c r="K175" s="48" t="b">
        <f t="shared" si="11"/>
        <v>0</v>
      </c>
      <c r="L175" s="50"/>
    </row>
    <row r="176" spans="1:12" x14ac:dyDescent="0.3">
      <c r="A176" s="97">
        <v>41395</v>
      </c>
      <c r="B176" s="91">
        <f>7703724194.07/(10^9)</f>
        <v>7.7037241940699994</v>
      </c>
      <c r="C176" s="91">
        <f>397093892971.46/(10^9)</f>
        <v>397.09389297146004</v>
      </c>
      <c r="D176" s="91">
        <f>55546282368/(10^9)</f>
        <v>55.546282368</v>
      </c>
      <c r="E176" s="3">
        <f t="shared" si="8"/>
        <v>368.72694195659665</v>
      </c>
      <c r="F176" s="102">
        <f t="shared" si="8"/>
        <v>53.193813420566663</v>
      </c>
      <c r="G176" s="103">
        <f t="shared" si="9"/>
        <v>2.0892761871945922</v>
      </c>
      <c r="H176" s="42">
        <f t="shared" si="10"/>
        <v>14.482368716756561</v>
      </c>
      <c r="I176" s="3">
        <f t="shared" si="12"/>
        <v>1.9379764437467331</v>
      </c>
      <c r="J176" s="3">
        <f t="shared" si="13"/>
        <v>13.679137989445179</v>
      </c>
      <c r="K176" s="48" t="b">
        <f t="shared" si="11"/>
        <v>0</v>
      </c>
      <c r="L176" s="50"/>
    </row>
    <row r="177" spans="1:12" x14ac:dyDescent="0.3">
      <c r="A177" s="97">
        <v>41426</v>
      </c>
      <c r="B177" s="91">
        <f>7406146497.53/(10^9)</f>
        <v>7.40614649753</v>
      </c>
      <c r="C177" s="91">
        <f>401759691570.95/(10^9)</f>
        <v>401.75969157095</v>
      </c>
      <c r="D177" s="91">
        <f>55260810601.98/(10^9)</f>
        <v>55.260810601980005</v>
      </c>
      <c r="E177" s="3">
        <f t="shared" si="8"/>
        <v>373.40984610008667</v>
      </c>
      <c r="F177" s="102">
        <f t="shared" si="8"/>
        <v>53.660264578079165</v>
      </c>
      <c r="G177" s="103">
        <f t="shared" si="9"/>
        <v>1.9833827562074777</v>
      </c>
      <c r="H177" s="42">
        <f t="shared" si="10"/>
        <v>13.801919457093948</v>
      </c>
      <c r="I177" s="3">
        <f t="shared" si="12"/>
        <v>1.9379764437467331</v>
      </c>
      <c r="J177" s="3">
        <f t="shared" si="13"/>
        <v>13.679137989445179</v>
      </c>
      <c r="K177" s="48" t="b">
        <f t="shared" si="11"/>
        <v>0</v>
      </c>
      <c r="L177" s="50"/>
    </row>
    <row r="178" spans="1:12" x14ac:dyDescent="0.3">
      <c r="A178" s="97">
        <v>41456</v>
      </c>
      <c r="B178" s="91">
        <f>7541924909.98/(10^9)</f>
        <v>7.5419249099799996</v>
      </c>
      <c r="C178" s="91">
        <f>404584247478.92/(10^9)</f>
        <v>404.58424747891996</v>
      </c>
      <c r="D178" s="91">
        <f>56074477158.56/(10^9)</f>
        <v>56.074477158560001</v>
      </c>
      <c r="E178" s="3">
        <f t="shared" si="8"/>
        <v>378.27007878558993</v>
      </c>
      <c r="F178" s="102">
        <f t="shared" si="8"/>
        <v>54.110138868180833</v>
      </c>
      <c r="G178" s="103">
        <f t="shared" si="9"/>
        <v>1.9937936762518544</v>
      </c>
      <c r="H178" s="42">
        <f t="shared" si="10"/>
        <v>13.93809934281094</v>
      </c>
      <c r="I178" s="3">
        <f t="shared" si="12"/>
        <v>1.9379764437467331</v>
      </c>
      <c r="J178" s="3">
        <f t="shared" si="13"/>
        <v>13.679137989445179</v>
      </c>
      <c r="K178" s="48" t="b">
        <f t="shared" si="11"/>
        <v>0</v>
      </c>
      <c r="L178" s="50"/>
    </row>
    <row r="179" spans="1:12" x14ac:dyDescent="0.3">
      <c r="A179" s="97">
        <v>41487</v>
      </c>
      <c r="B179" s="91">
        <f>7551131087.73/(10^9)</f>
        <v>7.55113108773</v>
      </c>
      <c r="C179" s="91">
        <f>411110313664.27/(10^9)</f>
        <v>411.11031366427</v>
      </c>
      <c r="D179" s="91">
        <f>58789865164.76/(10^9)</f>
        <v>58.789865164760002</v>
      </c>
      <c r="E179" s="3">
        <f t="shared" si="8"/>
        <v>383.38131062213409</v>
      </c>
      <c r="F179" s="102">
        <f t="shared" si="8"/>
        <v>54.752140556902503</v>
      </c>
      <c r="G179" s="103">
        <f t="shared" si="9"/>
        <v>1.9696137705503591</v>
      </c>
      <c r="H179" s="42">
        <f t="shared" si="10"/>
        <v>13.791481046996331</v>
      </c>
      <c r="I179" s="3">
        <f t="shared" si="12"/>
        <v>1.9379764437467331</v>
      </c>
      <c r="J179" s="3">
        <f t="shared" si="13"/>
        <v>13.679137989445179</v>
      </c>
      <c r="K179" s="48" t="b">
        <f t="shared" si="11"/>
        <v>0</v>
      </c>
      <c r="L179" s="50"/>
    </row>
    <row r="180" spans="1:12" x14ac:dyDescent="0.3">
      <c r="A180" s="97">
        <v>41518</v>
      </c>
      <c r="B180" s="91">
        <f>7735670474.58/(10^9)</f>
        <v>7.73567047458</v>
      </c>
      <c r="C180" s="91">
        <f>414358687587.62/(10^9)</f>
        <v>414.35868758762001</v>
      </c>
      <c r="D180" s="91">
        <f>59556920327.73/(10^9)</f>
        <v>59.556920327730005</v>
      </c>
      <c r="E180" s="3">
        <f t="shared" ref="E180:F207" si="14">+AVERAGE(C169:C180)</f>
        <v>387.92345978564828</v>
      </c>
      <c r="F180" s="102">
        <f t="shared" si="14"/>
        <v>55.441649110975838</v>
      </c>
      <c r="G180" s="103">
        <f t="shared" si="9"/>
        <v>1.9941228815742253</v>
      </c>
      <c r="H180" s="42">
        <f t="shared" si="10"/>
        <v>13.952814533160346</v>
      </c>
      <c r="I180" s="3">
        <f t="shared" si="12"/>
        <v>1.9379764437467331</v>
      </c>
      <c r="J180" s="3">
        <f t="shared" si="13"/>
        <v>13.679137989445179</v>
      </c>
      <c r="K180" s="48" t="b">
        <f t="shared" si="11"/>
        <v>0</v>
      </c>
      <c r="L180" s="50"/>
    </row>
    <row r="181" spans="1:12" x14ac:dyDescent="0.3">
      <c r="A181" s="97">
        <v>41548</v>
      </c>
      <c r="B181" s="91">
        <f>7728421263.54/(10^9)</f>
        <v>7.7284212635399996</v>
      </c>
      <c r="C181" s="91">
        <f>420458086751.56/(10^9)</f>
        <v>420.45808675156002</v>
      </c>
      <c r="D181" s="91">
        <f>60748066272.21/(10^9)</f>
        <v>60.748066272209996</v>
      </c>
      <c r="E181" s="3">
        <f t="shared" si="14"/>
        <v>392.76464622752161</v>
      </c>
      <c r="F181" s="102">
        <f t="shared" si="14"/>
        <v>56.160183144920836</v>
      </c>
      <c r="G181" s="103">
        <f t="shared" si="9"/>
        <v>1.9676977899541044</v>
      </c>
      <c r="H181" s="42">
        <f t="shared" si="10"/>
        <v>13.761388996180585</v>
      </c>
      <c r="I181" s="3">
        <f t="shared" si="12"/>
        <v>1.9379764437467331</v>
      </c>
      <c r="J181" s="3">
        <f t="shared" si="13"/>
        <v>13.679137989445179</v>
      </c>
      <c r="K181" s="48" t="b">
        <f t="shared" si="11"/>
        <v>0</v>
      </c>
      <c r="L181" s="50"/>
    </row>
    <row r="182" spans="1:12" x14ac:dyDescent="0.3">
      <c r="A182" s="97">
        <v>41579</v>
      </c>
      <c r="B182" s="91">
        <f>7681417962.97999/(10^9)</f>
        <v>7.6814179629799897</v>
      </c>
      <c r="C182" s="91">
        <f>425853450268.72/(10^9)</f>
        <v>425.85345026872</v>
      </c>
      <c r="D182" s="91">
        <f>61390827601.3/(10^9)</f>
        <v>61.390827601300003</v>
      </c>
      <c r="E182" s="3">
        <f t="shared" si="14"/>
        <v>397.8910537574825</v>
      </c>
      <c r="F182" s="3">
        <f t="shared" si="14"/>
        <v>56.895297974397494</v>
      </c>
      <c r="G182" s="98">
        <f t="shared" si="9"/>
        <v>1.9305329663586428</v>
      </c>
      <c r="H182" s="42">
        <f t="shared" si="10"/>
        <v>13.500971497568351</v>
      </c>
      <c r="I182" s="3">
        <f t="shared" si="12"/>
        <v>1.9379764437467331</v>
      </c>
      <c r="J182" s="3">
        <f t="shared" si="13"/>
        <v>13.679137989445179</v>
      </c>
      <c r="K182" s="48" t="b">
        <f t="shared" si="11"/>
        <v>0</v>
      </c>
      <c r="L182" s="50"/>
    </row>
    <row r="183" spans="1:12" x14ac:dyDescent="0.3">
      <c r="A183" s="97">
        <v>41609</v>
      </c>
      <c r="B183" s="91">
        <f>7510218089.43/(10^9)</f>
        <v>7.5102180894300004</v>
      </c>
      <c r="C183" s="91">
        <f>427777760058.81/(10^9)</f>
        <v>427.77776005880997</v>
      </c>
      <c r="D183" s="91">
        <f>63033452921.19/(10^9)</f>
        <v>63.033452921190005</v>
      </c>
      <c r="E183" s="3">
        <f t="shared" si="14"/>
        <v>402.47301393681079</v>
      </c>
      <c r="F183" s="3">
        <f t="shared" si="14"/>
        <v>57.62343106572083</v>
      </c>
      <c r="G183" s="98">
        <f t="shared" si="9"/>
        <v>1.8660178022790672</v>
      </c>
      <c r="H183" s="42">
        <f t="shared" si="10"/>
        <v>13.033271276166158</v>
      </c>
      <c r="I183" s="3">
        <f t="shared" si="12"/>
        <v>1.9379764437467331</v>
      </c>
      <c r="J183" s="3">
        <f t="shared" si="13"/>
        <v>13.679137989445179</v>
      </c>
      <c r="K183" s="48" t="b">
        <f t="shared" si="11"/>
        <v>0</v>
      </c>
      <c r="L183" s="50"/>
    </row>
    <row r="184" spans="1:12" x14ac:dyDescent="0.3">
      <c r="A184" s="97">
        <v>41640</v>
      </c>
      <c r="B184" s="91">
        <f>7451685036.23/(10^9)</f>
        <v>7.4516850362299998</v>
      </c>
      <c r="C184" s="91">
        <f>428083766077.12/(10^9)</f>
        <v>428.08376607712</v>
      </c>
      <c r="D184" s="91">
        <f>62912578037.52/(10^9)</f>
        <v>62.912578037519999</v>
      </c>
      <c r="E184" s="3">
        <f t="shared" si="14"/>
        <v>407.04148645670921</v>
      </c>
      <c r="F184" s="3">
        <f t="shared" si="14"/>
        <v>58.289134470731661</v>
      </c>
      <c r="G184" s="98">
        <f t="shared" si="9"/>
        <v>1.8306942373606239</v>
      </c>
      <c r="H184" s="42">
        <f t="shared" si="10"/>
        <v>12.784003577839478</v>
      </c>
      <c r="I184" s="3">
        <f t="shared" si="12"/>
        <v>1.9379764437467331</v>
      </c>
      <c r="J184" s="3">
        <f t="shared" si="13"/>
        <v>13.679137989445179</v>
      </c>
      <c r="K184" s="48" t="b">
        <f t="shared" si="11"/>
        <v>0</v>
      </c>
      <c r="L184" s="50"/>
    </row>
    <row r="185" spans="1:12" x14ac:dyDescent="0.3">
      <c r="A185" s="97">
        <v>41671</v>
      </c>
      <c r="B185" s="91">
        <f>7125085880.53/(10^9)</f>
        <v>7.1250858805299995</v>
      </c>
      <c r="C185" s="91">
        <f>439642754689.85/(10^9)</f>
        <v>439.64275468984999</v>
      </c>
      <c r="D185" s="91">
        <f>63348516390.84/(10^9)</f>
        <v>63.348516390839997</v>
      </c>
      <c r="E185" s="3">
        <f t="shared" si="14"/>
        <v>412.15745637395918</v>
      </c>
      <c r="F185" s="3">
        <f t="shared" si="14"/>
        <v>58.902027798944168</v>
      </c>
      <c r="G185" s="98">
        <f t="shared" si="9"/>
        <v>1.7287290986348816</v>
      </c>
      <c r="H185" s="42">
        <f t="shared" si="10"/>
        <v>12.096503544582074</v>
      </c>
      <c r="I185" s="3">
        <f t="shared" si="12"/>
        <v>1.9379764437467331</v>
      </c>
      <c r="J185" s="3">
        <f t="shared" si="13"/>
        <v>13.679137989445179</v>
      </c>
      <c r="K185" s="48" t="b">
        <f t="shared" si="11"/>
        <v>0</v>
      </c>
      <c r="L185" s="50"/>
    </row>
    <row r="186" spans="1:12" x14ac:dyDescent="0.3">
      <c r="A186" s="97">
        <v>41699</v>
      </c>
      <c r="B186" s="91">
        <f>7350408646.42/(10^9)</f>
        <v>7.35040864642</v>
      </c>
      <c r="C186" s="91">
        <f>443614326856.58/(10^9)</f>
        <v>443.61432685658002</v>
      </c>
      <c r="D186" s="91">
        <f>65476958792.09/(10^9)</f>
        <v>65.476958792090002</v>
      </c>
      <c r="E186" s="3">
        <f t="shared" si="14"/>
        <v>417.04126704820595</v>
      </c>
      <c r="F186" s="3">
        <f t="shared" si="14"/>
        <v>59.786487590168342</v>
      </c>
      <c r="G186" s="98">
        <f t="shared" si="9"/>
        <v>1.7625135033867916</v>
      </c>
      <c r="H186" s="42">
        <f t="shared" si="10"/>
        <v>12.294431304957186</v>
      </c>
      <c r="I186" s="3">
        <f t="shared" si="12"/>
        <v>1.9379764437467331</v>
      </c>
      <c r="J186" s="3">
        <f t="shared" si="13"/>
        <v>13.679137989445179</v>
      </c>
      <c r="K186" s="48" t="b">
        <f t="shared" si="11"/>
        <v>0</v>
      </c>
      <c r="L186" s="50"/>
    </row>
    <row r="187" spans="1:12" x14ac:dyDescent="0.3">
      <c r="A187" s="97">
        <v>41730</v>
      </c>
      <c r="B187" s="91">
        <f>7269336435.85/(10^9)</f>
        <v>7.2693364358500006</v>
      </c>
      <c r="C187" s="91">
        <f>447342787668.16/(10^9)</f>
        <v>447.34278766815999</v>
      </c>
      <c r="D187" s="91">
        <f>66126120743.08/(10^9)</f>
        <v>66.126120743080008</v>
      </c>
      <c r="E187" s="3">
        <f t="shared" si="14"/>
        <v>421.80664713700168</v>
      </c>
      <c r="F187" s="3">
        <f t="shared" si="14"/>
        <v>60.688739698271682</v>
      </c>
      <c r="G187" s="98">
        <f t="shared" si="9"/>
        <v>1.7233811949599123</v>
      </c>
      <c r="H187" s="42">
        <f t="shared" si="10"/>
        <v>11.978064583300318</v>
      </c>
      <c r="I187" s="3">
        <f t="shared" si="12"/>
        <v>1.9379764437467331</v>
      </c>
      <c r="J187" s="3">
        <f t="shared" si="13"/>
        <v>13.679137989445179</v>
      </c>
      <c r="K187" s="48" t="b">
        <f t="shared" si="11"/>
        <v>0</v>
      </c>
      <c r="L187" s="50"/>
    </row>
    <row r="188" spans="1:12" x14ac:dyDescent="0.3">
      <c r="A188" s="97">
        <v>41760</v>
      </c>
      <c r="B188" s="91">
        <f>7419695054.72/(10^9)</f>
        <v>7.41969505472</v>
      </c>
      <c r="C188" s="91">
        <f>446561373787.21/(10^9)</f>
        <v>446.56137378721002</v>
      </c>
      <c r="D188" s="91">
        <f>66869355987.67/(10^9)</f>
        <v>66.869355987670005</v>
      </c>
      <c r="E188" s="3">
        <f t="shared" si="14"/>
        <v>425.92893720498085</v>
      </c>
      <c r="F188" s="3">
        <f t="shared" si="14"/>
        <v>61.632329166577513</v>
      </c>
      <c r="G188" s="98">
        <f t="shared" si="9"/>
        <v>1.7420030447823804</v>
      </c>
      <c r="H188" s="42">
        <f t="shared" si="10"/>
        <v>12.038641334917475</v>
      </c>
      <c r="I188" s="3">
        <f t="shared" si="12"/>
        <v>1.9379764437467331</v>
      </c>
      <c r="J188" s="3">
        <f t="shared" si="13"/>
        <v>13.679137989445179</v>
      </c>
      <c r="K188" s="48" t="b">
        <f t="shared" si="11"/>
        <v>0</v>
      </c>
      <c r="L188" s="50"/>
    </row>
    <row r="189" spans="1:12" x14ac:dyDescent="0.3">
      <c r="A189" s="97">
        <v>41791</v>
      </c>
      <c r="B189" s="91">
        <f>7791563643.7/(10^9)</f>
        <v>7.7915636437</v>
      </c>
      <c r="C189" s="91">
        <f>447829851889.13/(10^9)</f>
        <v>447.82985188913</v>
      </c>
      <c r="D189" s="91">
        <f>65920255805.35/(10^9)</f>
        <v>65.920255805349996</v>
      </c>
      <c r="E189" s="3">
        <f t="shared" si="14"/>
        <v>429.76811723149581</v>
      </c>
      <c r="F189" s="3">
        <f t="shared" si="14"/>
        <v>62.520616266858347</v>
      </c>
      <c r="G189" s="98">
        <f t="shared" si="9"/>
        <v>1.8129692109065998</v>
      </c>
      <c r="H189" s="42">
        <f t="shared" si="10"/>
        <v>12.462390982269063</v>
      </c>
      <c r="I189" s="3">
        <f t="shared" si="12"/>
        <v>1.9379764437467331</v>
      </c>
      <c r="J189" s="3">
        <f t="shared" si="13"/>
        <v>13.679137989445179</v>
      </c>
      <c r="K189" s="48" t="b">
        <f t="shared" si="11"/>
        <v>0</v>
      </c>
      <c r="L189" s="50"/>
    </row>
    <row r="190" spans="1:12" x14ac:dyDescent="0.3">
      <c r="A190" s="97">
        <v>41821</v>
      </c>
      <c r="B190" s="91">
        <f>7754722017.23/(10^9)</f>
        <v>7.7547220172299998</v>
      </c>
      <c r="C190" s="91">
        <f>449120998253.39/(10^9)</f>
        <v>449.12099825339004</v>
      </c>
      <c r="D190" s="91">
        <f>66562155739.61/(10^9)</f>
        <v>66.562155739610006</v>
      </c>
      <c r="E190" s="3">
        <f t="shared" si="14"/>
        <v>433.47951312936834</v>
      </c>
      <c r="F190" s="3">
        <f t="shared" si="14"/>
        <v>63.394589481945843</v>
      </c>
      <c r="G190" s="98">
        <f t="shared" si="9"/>
        <v>1.7889477547040771</v>
      </c>
      <c r="H190" s="42">
        <f t="shared" si="10"/>
        <v>12.232466651493134</v>
      </c>
      <c r="I190" s="3">
        <f t="shared" si="12"/>
        <v>1.9379764437467331</v>
      </c>
      <c r="J190" s="3">
        <f t="shared" si="13"/>
        <v>13.679137989445179</v>
      </c>
      <c r="K190" s="48" t="b">
        <f t="shared" si="11"/>
        <v>0</v>
      </c>
      <c r="L190" s="50"/>
    </row>
    <row r="191" spans="1:12" x14ac:dyDescent="0.3">
      <c r="A191" s="97">
        <v>41852</v>
      </c>
      <c r="B191" s="91">
        <f>7797448452.78188/(10^9)</f>
        <v>7.7974484527818806</v>
      </c>
      <c r="C191" s="91">
        <f>456336777726.193/(10^9)</f>
        <v>456.33677772619302</v>
      </c>
      <c r="D191" s="91">
        <f>67553852858.2027/(10^9)</f>
        <v>67.553852858202703</v>
      </c>
      <c r="E191" s="3">
        <f t="shared" si="14"/>
        <v>437.24838513452852</v>
      </c>
      <c r="F191" s="3">
        <f t="shared" si="14"/>
        <v>64.124921789732738</v>
      </c>
      <c r="G191" s="98">
        <f t="shared" si="9"/>
        <v>1.7832995427491023</v>
      </c>
      <c r="H191" s="42">
        <f t="shared" si="10"/>
        <v>12.159778499769425</v>
      </c>
      <c r="I191" s="3">
        <f t="shared" si="12"/>
        <v>1.9379764437467331</v>
      </c>
      <c r="J191" s="3">
        <f t="shared" si="13"/>
        <v>13.679137989445179</v>
      </c>
      <c r="K191" s="48" t="b">
        <f t="shared" si="11"/>
        <v>0</v>
      </c>
      <c r="L191" s="50"/>
    </row>
    <row r="192" spans="1:12" x14ac:dyDescent="0.3">
      <c r="A192" s="97">
        <v>41883</v>
      </c>
      <c r="B192" s="91">
        <f>7909379785.46/(10^9)</f>
        <v>7.9093797854599996</v>
      </c>
      <c r="C192" s="91">
        <f>458040206870.8/(10^9)</f>
        <v>458.04020687079998</v>
      </c>
      <c r="D192" s="91">
        <f>67681890387.33/(10^9)</f>
        <v>67.68189038733</v>
      </c>
      <c r="E192" s="3">
        <f t="shared" si="14"/>
        <v>440.88851174146021</v>
      </c>
      <c r="F192" s="3">
        <f t="shared" si="14"/>
        <v>64.802002628032739</v>
      </c>
      <c r="G192" s="98">
        <f t="shared" si="9"/>
        <v>1.7939636835214501</v>
      </c>
      <c r="H192" s="42">
        <f t="shared" si="10"/>
        <v>12.205455795649248</v>
      </c>
      <c r="I192" s="3">
        <f t="shared" si="12"/>
        <v>1.9379764437467331</v>
      </c>
      <c r="J192" s="3">
        <f t="shared" si="13"/>
        <v>13.679137989445179</v>
      </c>
      <c r="K192" s="48" t="b">
        <f t="shared" si="11"/>
        <v>0</v>
      </c>
      <c r="L192" s="50"/>
    </row>
    <row r="193" spans="1:12" x14ac:dyDescent="0.3">
      <c r="A193" s="97">
        <v>41913</v>
      </c>
      <c r="B193" s="91">
        <f>8064548064.15/(10^9)</f>
        <v>8.0645480641499994</v>
      </c>
      <c r="C193" s="91">
        <f>464656010975.33/(10^9)</f>
        <v>464.65601097532999</v>
      </c>
      <c r="D193" s="91">
        <f>68410297213.9/(10^9)</f>
        <v>68.410297213899995</v>
      </c>
      <c r="E193" s="3">
        <f t="shared" si="14"/>
        <v>444.57167209344107</v>
      </c>
      <c r="F193" s="3">
        <f t="shared" si="14"/>
        <v>65.440521873173566</v>
      </c>
      <c r="G193" s="98">
        <f t="shared" si="9"/>
        <v>1.8140040336296945</v>
      </c>
      <c r="H193" s="42">
        <f t="shared" si="10"/>
        <v>12.32347761495458</v>
      </c>
      <c r="I193" s="3">
        <f t="shared" si="12"/>
        <v>1.9379764437467331</v>
      </c>
      <c r="J193" s="3">
        <f t="shared" si="13"/>
        <v>13.679137989445179</v>
      </c>
      <c r="K193" s="48" t="b">
        <f t="shared" si="11"/>
        <v>0</v>
      </c>
      <c r="L193" s="50"/>
    </row>
    <row r="194" spans="1:12" x14ac:dyDescent="0.3">
      <c r="A194" s="97">
        <v>41944</v>
      </c>
      <c r="B194" s="91">
        <f>8015058869.61001/(10^9)</f>
        <v>8.0150588696100105</v>
      </c>
      <c r="C194" s="91">
        <f>478840696044.12/(10^9)</f>
        <v>478.84069604412002</v>
      </c>
      <c r="D194" s="91">
        <f>70815649743.45/(10^9)</f>
        <v>70.815649743449995</v>
      </c>
      <c r="E194" s="3">
        <f t="shared" si="14"/>
        <v>448.98727590805771</v>
      </c>
      <c r="F194" s="3">
        <f t="shared" si="14"/>
        <v>66.225923718352718</v>
      </c>
      <c r="G194" s="98">
        <f t="shared" si="9"/>
        <v>1.7851416509298386</v>
      </c>
      <c r="H194" s="42">
        <f t="shared" si="10"/>
        <v>12.102600340761807</v>
      </c>
      <c r="I194" s="3">
        <f t="shared" si="12"/>
        <v>1.9379764437467331</v>
      </c>
      <c r="J194" s="3">
        <f t="shared" si="13"/>
        <v>13.679137989445179</v>
      </c>
      <c r="K194" s="48" t="b">
        <f t="shared" si="11"/>
        <v>0</v>
      </c>
      <c r="L194" s="50"/>
    </row>
    <row r="195" spans="1:12" x14ac:dyDescent="0.3">
      <c r="A195" s="97">
        <f t="shared" ref="A195:A232" si="15">+DATE(YEAR(A194),MONTH(A194)+1,1)</f>
        <v>41974</v>
      </c>
      <c r="B195" s="91">
        <f>8831334808.89/(10^9)</f>
        <v>8.8313348088899986</v>
      </c>
      <c r="C195" s="91">
        <f>480861128290.95/(10^9)</f>
        <v>480.86112829095003</v>
      </c>
      <c r="D195" s="91">
        <f>71590749689.19/(10^9)</f>
        <v>71.590749689190005</v>
      </c>
      <c r="E195" s="3">
        <f t="shared" si="14"/>
        <v>453.41088992740265</v>
      </c>
      <c r="F195" s="3">
        <f t="shared" si="14"/>
        <v>66.939031782352728</v>
      </c>
      <c r="G195" s="98">
        <f t="shared" ref="G195:G232" si="16">+B195/E195*100</f>
        <v>1.9477553373947452</v>
      </c>
      <c r="H195" s="42">
        <f t="shared" ref="H195:H232" si="17">B195/F195*100</f>
        <v>13.193102101632462</v>
      </c>
      <c r="I195" s="3">
        <f t="shared" si="12"/>
        <v>1.9379764437467331</v>
      </c>
      <c r="J195" s="3">
        <f t="shared" si="13"/>
        <v>13.679137989445179</v>
      </c>
      <c r="K195" s="48" t="b">
        <f t="shared" ref="K195:K230" si="18">+G195&lt;$G$231</f>
        <v>0</v>
      </c>
      <c r="L195" s="50"/>
    </row>
    <row r="196" spans="1:12" x14ac:dyDescent="0.3">
      <c r="A196" s="97">
        <f t="shared" si="15"/>
        <v>42005</v>
      </c>
      <c r="B196" s="91">
        <f>9037152821.48228/(10^9)</f>
        <v>9.0371528214822803</v>
      </c>
      <c r="C196" s="91">
        <f>488587358344.12/(10^9)</f>
        <v>488.58735834411999</v>
      </c>
      <c r="D196" s="91">
        <f>68230410157.2205/(10^9)</f>
        <v>68.230410157220504</v>
      </c>
      <c r="E196" s="3">
        <f t="shared" si="14"/>
        <v>458.4528559496527</v>
      </c>
      <c r="F196" s="3">
        <f t="shared" si="14"/>
        <v>67.382184458994431</v>
      </c>
      <c r="G196" s="98">
        <f t="shared" si="16"/>
        <v>1.9712283835079305</v>
      </c>
      <c r="H196" s="42">
        <f t="shared" si="17"/>
        <v>13.411783684427533</v>
      </c>
      <c r="I196" s="3">
        <f t="shared" si="12"/>
        <v>1.9379764437467331</v>
      </c>
      <c r="J196" s="3">
        <f t="shared" si="13"/>
        <v>13.679137989445179</v>
      </c>
      <c r="K196" s="48" t="b">
        <f t="shared" si="18"/>
        <v>0</v>
      </c>
      <c r="L196" s="50"/>
    </row>
    <row r="197" spans="1:12" x14ac:dyDescent="0.3">
      <c r="A197" s="97">
        <f t="shared" si="15"/>
        <v>42036</v>
      </c>
      <c r="B197" s="91">
        <f>9442122117.99249/(10^9)</f>
        <v>9.4421221179924899</v>
      </c>
      <c r="C197" s="91">
        <f>498136243355.197/(10^9)</f>
        <v>498.136243355197</v>
      </c>
      <c r="D197" s="91">
        <f>70070845860.3509/(10^9)</f>
        <v>70.0708458603509</v>
      </c>
      <c r="E197" s="3">
        <f t="shared" si="14"/>
        <v>463.32731333843157</v>
      </c>
      <c r="F197" s="3">
        <f t="shared" si="14"/>
        <v>67.942378581453681</v>
      </c>
      <c r="G197" s="98">
        <f t="shared" si="16"/>
        <v>2.0378945609657189</v>
      </c>
      <c r="H197" s="42">
        <f t="shared" si="17"/>
        <v>13.897249868390563</v>
      </c>
      <c r="I197" s="3">
        <f t="shared" si="12"/>
        <v>1.9379764437467331</v>
      </c>
      <c r="J197" s="3">
        <f t="shared" si="13"/>
        <v>13.679137989445179</v>
      </c>
      <c r="K197" s="48" t="b">
        <f t="shared" si="18"/>
        <v>0</v>
      </c>
      <c r="L197" s="50"/>
    </row>
    <row r="198" spans="1:12" x14ac:dyDescent="0.3">
      <c r="A198" s="97">
        <f t="shared" si="15"/>
        <v>42064</v>
      </c>
      <c r="B198" s="91">
        <f>9440148076.1468/(10^9)</f>
        <v>9.4401480761467997</v>
      </c>
      <c r="C198" s="91">
        <f>503519536444.722/(10^9)</f>
        <v>503.51953644472201</v>
      </c>
      <c r="D198" s="91">
        <f>69639033849.7175/(10^9)</f>
        <v>69.639033849717492</v>
      </c>
      <c r="E198" s="3">
        <f t="shared" si="14"/>
        <v>468.3194141374434</v>
      </c>
      <c r="F198" s="3">
        <f t="shared" si="14"/>
        <v>68.289218169589304</v>
      </c>
      <c r="G198" s="98">
        <f t="shared" si="16"/>
        <v>2.0157498901756576</v>
      </c>
      <c r="H198" s="42">
        <f t="shared" si="17"/>
        <v>13.823775303303599</v>
      </c>
      <c r="I198" s="3">
        <f t="shared" si="12"/>
        <v>1.9379764437467331</v>
      </c>
      <c r="J198" s="3">
        <f t="shared" si="13"/>
        <v>13.679137989445179</v>
      </c>
      <c r="K198" s="48" t="b">
        <f t="shared" si="18"/>
        <v>0</v>
      </c>
      <c r="L198" s="50"/>
    </row>
    <row r="199" spans="1:12" x14ac:dyDescent="0.3">
      <c r="A199" s="97">
        <f t="shared" si="15"/>
        <v>42095</v>
      </c>
      <c r="B199" s="91">
        <f>9916660309.49428/(10^9)</f>
        <v>9.9166603094942793</v>
      </c>
      <c r="C199" s="91">
        <f>506089205758.791/(10^9)</f>
        <v>506.08920575879102</v>
      </c>
      <c r="D199" s="91">
        <f>71260635543.071/(10^9)</f>
        <v>71.260635543071004</v>
      </c>
      <c r="E199" s="3">
        <f t="shared" si="14"/>
        <v>473.2149489783294</v>
      </c>
      <c r="F199" s="3">
        <f t="shared" si="14"/>
        <v>68.717094402921887</v>
      </c>
      <c r="G199" s="98">
        <f t="shared" si="16"/>
        <v>2.0955932036602687</v>
      </c>
      <c r="H199" s="42">
        <f t="shared" si="17"/>
        <v>14.431140308913612</v>
      </c>
      <c r="I199" s="3">
        <f t="shared" si="12"/>
        <v>1.9379764437467331</v>
      </c>
      <c r="J199" s="3">
        <f t="shared" si="13"/>
        <v>13.679137989445179</v>
      </c>
      <c r="K199" s="48" t="b">
        <f t="shared" si="18"/>
        <v>0</v>
      </c>
      <c r="L199" s="50"/>
    </row>
    <row r="200" spans="1:12" x14ac:dyDescent="0.3">
      <c r="A200" s="97">
        <f t="shared" si="15"/>
        <v>42125</v>
      </c>
      <c r="B200" s="91">
        <f>10190022017.1652/(10^9)</f>
        <v>10.1900220171652</v>
      </c>
      <c r="C200" s="91">
        <f>508174332954.7/(10^9)</f>
        <v>508.17433295469999</v>
      </c>
      <c r="D200" s="91">
        <f>71110561305.3543/(10^9)</f>
        <v>71.110561305354295</v>
      </c>
      <c r="E200" s="3">
        <f t="shared" si="14"/>
        <v>478.34936224228687</v>
      </c>
      <c r="F200" s="3">
        <f t="shared" si="14"/>
        <v>69.070528179395566</v>
      </c>
      <c r="G200" s="98">
        <f t="shared" si="16"/>
        <v>2.1302468073541387</v>
      </c>
      <c r="H200" s="42">
        <f t="shared" si="17"/>
        <v>14.753068038945424</v>
      </c>
      <c r="I200" s="3">
        <f t="shared" si="12"/>
        <v>1.9379764437467331</v>
      </c>
      <c r="J200" s="3">
        <f t="shared" si="13"/>
        <v>13.679137989445179</v>
      </c>
      <c r="K200" s="48" t="b">
        <f t="shared" si="18"/>
        <v>0</v>
      </c>
      <c r="L200" s="50"/>
    </row>
    <row r="201" spans="1:12" x14ac:dyDescent="0.3">
      <c r="A201" s="97">
        <f t="shared" si="15"/>
        <v>42156</v>
      </c>
      <c r="B201" s="91">
        <f>10271857257.9559/(10^9)</f>
        <v>10.271857257955901</v>
      </c>
      <c r="C201" s="91">
        <f>511814402460.987/(10^9)</f>
        <v>511.81440246098703</v>
      </c>
      <c r="D201" s="91">
        <f>72209220774.1051/(10^9)</f>
        <v>72.209220774105106</v>
      </c>
      <c r="E201" s="3">
        <f>+AVERAGE(C190:C201)</f>
        <v>483.68140812327505</v>
      </c>
      <c r="F201" s="3">
        <f t="shared" si="14"/>
        <v>69.594608593458503</v>
      </c>
      <c r="G201" s="98">
        <f>+B201/E201*100</f>
        <v>2.1236824664837917</v>
      </c>
      <c r="H201" s="42">
        <f t="shared" si="17"/>
        <v>14.759558916351741</v>
      </c>
      <c r="I201" s="3">
        <f t="shared" si="12"/>
        <v>1.9379764437467331</v>
      </c>
      <c r="J201" s="3">
        <f t="shared" si="13"/>
        <v>13.679137989445179</v>
      </c>
      <c r="K201" s="48" t="b">
        <f t="shared" si="18"/>
        <v>0</v>
      </c>
      <c r="L201" s="50"/>
    </row>
    <row r="202" spans="1:12" x14ac:dyDescent="0.3">
      <c r="A202" s="97">
        <f t="shared" si="15"/>
        <v>42186</v>
      </c>
      <c r="B202" s="91">
        <f>10542887861.8744/(10^9)</f>
        <v>10.5428878618744</v>
      </c>
      <c r="C202" s="91">
        <f>522655824273.25/(10^9)</f>
        <v>522.65582427325</v>
      </c>
      <c r="D202" s="91">
        <f>73231734958.7802/(10^9)</f>
        <v>73.231734958780194</v>
      </c>
      <c r="E202" s="3">
        <f t="shared" si="14"/>
        <v>489.80931029159666</v>
      </c>
      <c r="F202" s="3">
        <f t="shared" si="14"/>
        <v>70.150406861722686</v>
      </c>
      <c r="G202" s="98">
        <f t="shared" si="16"/>
        <v>2.1524474199148922</v>
      </c>
      <c r="H202" s="42">
        <f t="shared" si="17"/>
        <v>15.028976072307126</v>
      </c>
      <c r="I202" s="3">
        <f t="shared" si="12"/>
        <v>1.9379764437467331</v>
      </c>
      <c r="J202" s="3">
        <f t="shared" si="13"/>
        <v>13.679137989445179</v>
      </c>
      <c r="K202" s="48" t="b">
        <f t="shared" si="18"/>
        <v>0</v>
      </c>
      <c r="L202" s="50"/>
    </row>
    <row r="203" spans="1:12" x14ac:dyDescent="0.3">
      <c r="A203" s="97">
        <f t="shared" si="15"/>
        <v>42217</v>
      </c>
      <c r="B203" s="91">
        <f>10793539389.5403/(10^9)</f>
        <v>10.7935393895403</v>
      </c>
      <c r="C203" s="91">
        <f>536479057577.692/(10^9)</f>
        <v>536.47905757769206</v>
      </c>
      <c r="D203" s="91">
        <f>73744302513.2588/(10^9)</f>
        <v>73.744302513258802</v>
      </c>
      <c r="E203" s="3">
        <f t="shared" si="14"/>
        <v>496.48783361255505</v>
      </c>
      <c r="F203" s="3">
        <f t="shared" si="14"/>
        <v>70.666277666310691</v>
      </c>
      <c r="G203" s="98">
        <f t="shared" si="16"/>
        <v>2.1739786272312305</v>
      </c>
      <c r="H203" s="42">
        <f t="shared" si="17"/>
        <v>15.273960573539577</v>
      </c>
      <c r="I203" s="3">
        <f t="shared" si="12"/>
        <v>1.9379764437467331</v>
      </c>
      <c r="J203" s="3">
        <f t="shared" si="13"/>
        <v>13.679137989445179</v>
      </c>
      <c r="K203" s="48" t="b">
        <f t="shared" si="18"/>
        <v>0</v>
      </c>
      <c r="L203" s="50"/>
    </row>
    <row r="204" spans="1:12" x14ac:dyDescent="0.3">
      <c r="A204" s="97">
        <f t="shared" si="15"/>
        <v>42248</v>
      </c>
      <c r="B204" s="91">
        <f>10966445171.9113/(10^9)</f>
        <v>10.966445171911301</v>
      </c>
      <c r="C204" s="91">
        <f>536738140332.038/(10^9)</f>
        <v>536.73814033203803</v>
      </c>
      <c r="D204" s="91">
        <f>74572027563.9513/(10^9)</f>
        <v>74.572027563951295</v>
      </c>
      <c r="E204" s="3">
        <f t="shared" si="14"/>
        <v>503.04599473432478</v>
      </c>
      <c r="F204" s="3">
        <f t="shared" si="14"/>
        <v>71.240455764362466</v>
      </c>
      <c r="G204" s="98">
        <f t="shared" si="16"/>
        <v>2.1800084458883413</v>
      </c>
      <c r="H204" s="42">
        <f t="shared" si="17"/>
        <v>15.393564027979153</v>
      </c>
      <c r="I204" s="3">
        <f t="shared" si="12"/>
        <v>1.9379764437467331</v>
      </c>
      <c r="J204" s="3">
        <f t="shared" si="13"/>
        <v>13.679137989445179</v>
      </c>
      <c r="K204" s="48" t="b">
        <f t="shared" si="18"/>
        <v>0</v>
      </c>
      <c r="L204" s="50"/>
    </row>
    <row r="205" spans="1:12" x14ac:dyDescent="0.3">
      <c r="A205" s="97">
        <f t="shared" si="15"/>
        <v>42278</v>
      </c>
      <c r="B205" s="91">
        <f>11122918039.9151/(10^9)</f>
        <v>11.122918039915101</v>
      </c>
      <c r="C205" s="91">
        <f>540451383239.562/(10^9)</f>
        <v>540.45138323956201</v>
      </c>
      <c r="D205" s="91">
        <f>75929852510.4475/(10^9)</f>
        <v>75.929852510447489</v>
      </c>
      <c r="E205" s="3">
        <f t="shared" si="14"/>
        <v>509.36227575634416</v>
      </c>
      <c r="F205" s="3">
        <f t="shared" si="14"/>
        <v>71.867085372408098</v>
      </c>
      <c r="G205" s="98">
        <f t="shared" si="16"/>
        <v>2.1836949003337267</v>
      </c>
      <c r="H205" s="42">
        <f t="shared" si="17"/>
        <v>15.477068510956363</v>
      </c>
      <c r="I205" s="3">
        <f t="shared" si="12"/>
        <v>1.9379764437467331</v>
      </c>
      <c r="J205" s="3">
        <f t="shared" si="13"/>
        <v>13.679137989445179</v>
      </c>
      <c r="K205" s="48" t="b">
        <f t="shared" si="18"/>
        <v>0</v>
      </c>
      <c r="L205" s="50"/>
    </row>
    <row r="206" spans="1:12" x14ac:dyDescent="0.3">
      <c r="A206" s="97">
        <f t="shared" si="15"/>
        <v>42309</v>
      </c>
      <c r="B206" s="91">
        <f>11398356322.8982/(10^9)</f>
        <v>11.398356322898199</v>
      </c>
      <c r="C206" s="91">
        <f>547814793268.064/(10^9)</f>
        <v>547.81479326806402</v>
      </c>
      <c r="D206" s="91">
        <f>75082167893.1808/(10^9)</f>
        <v>75.082167893180795</v>
      </c>
      <c r="E206" s="3">
        <f t="shared" si="14"/>
        <v>515.11011719167277</v>
      </c>
      <c r="F206" s="3">
        <f t="shared" si="14"/>
        <v>72.222628551552333</v>
      </c>
      <c r="G206" s="98">
        <f t="shared" si="16"/>
        <v>2.2127999319914085</v>
      </c>
      <c r="H206" s="42">
        <f t="shared" si="17"/>
        <v>15.782250731517033</v>
      </c>
      <c r="I206" s="3">
        <f t="shared" si="12"/>
        <v>1.9379764437467331</v>
      </c>
      <c r="J206" s="3">
        <f t="shared" si="13"/>
        <v>13.679137989445179</v>
      </c>
      <c r="K206" s="48" t="b">
        <f t="shared" si="18"/>
        <v>0</v>
      </c>
      <c r="L206" s="50"/>
    </row>
    <row r="207" spans="1:12" x14ac:dyDescent="0.3">
      <c r="A207" s="97">
        <f t="shared" si="15"/>
        <v>42339</v>
      </c>
      <c r="B207" s="91">
        <f>10662221890.6956/(10^9)</f>
        <v>10.6622218906956</v>
      </c>
      <c r="C207" s="91">
        <f>550376715321.629/(10^9)</f>
        <v>550.37671532162904</v>
      </c>
      <c r="D207" s="91">
        <f>76672272400.4282/(10^9)</f>
        <v>76.672272400428213</v>
      </c>
      <c r="E207" s="3">
        <f t="shared" si="14"/>
        <v>520.90308277756264</v>
      </c>
      <c r="F207" s="3">
        <f t="shared" si="14"/>
        <v>72.646088777488856</v>
      </c>
      <c r="G207" s="98">
        <f t="shared" si="16"/>
        <v>2.046872488034134</v>
      </c>
      <c r="H207" s="42">
        <f t="shared" si="17"/>
        <v>14.676938662662794</v>
      </c>
      <c r="I207" s="3">
        <f t="shared" si="12"/>
        <v>1.9379764437467331</v>
      </c>
      <c r="J207" s="3">
        <f t="shared" si="13"/>
        <v>13.679137989445179</v>
      </c>
      <c r="K207" s="48" t="b">
        <f t="shared" si="18"/>
        <v>0</v>
      </c>
      <c r="L207" s="50"/>
    </row>
    <row r="208" spans="1:12" x14ac:dyDescent="0.3">
      <c r="A208" s="97">
        <f t="shared" si="15"/>
        <v>42370</v>
      </c>
      <c r="B208" s="91">
        <f>10635108924.2383/(10^9)</f>
        <v>10.635108924238301</v>
      </c>
      <c r="C208" s="91">
        <f>552365207445.549/(10^9)</f>
        <v>552.365207445549</v>
      </c>
      <c r="D208" s="91">
        <f>77727975715.9108/(10^9)</f>
        <v>77.727975715910802</v>
      </c>
      <c r="E208" s="3">
        <f t="shared" ref="E208:F223" si="19">+AVERAGE(C197:C208)</f>
        <v>526.21790353601511</v>
      </c>
      <c r="F208" s="3">
        <f t="shared" si="19"/>
        <v>73.437552574046364</v>
      </c>
      <c r="G208" s="98">
        <f t="shared" si="16"/>
        <v>2.0210465764797791</v>
      </c>
      <c r="H208" s="42">
        <f t="shared" si="17"/>
        <v>14.481840082449676</v>
      </c>
      <c r="I208" s="3">
        <f t="shared" si="12"/>
        <v>1.9379764437467331</v>
      </c>
      <c r="J208" s="3">
        <f t="shared" si="13"/>
        <v>13.679137989445179</v>
      </c>
      <c r="K208" s="48" t="b">
        <f t="shared" si="18"/>
        <v>0</v>
      </c>
      <c r="L208" s="50"/>
    </row>
    <row r="209" spans="1:13" x14ac:dyDescent="0.3">
      <c r="A209" s="97">
        <f t="shared" si="15"/>
        <v>42401</v>
      </c>
      <c r="B209" s="91">
        <f>10640290859.7334/(10^9)</f>
        <v>10.640290859733401</v>
      </c>
      <c r="C209" s="91">
        <f>563383302799.98/(10^9)</f>
        <v>563.38330279998002</v>
      </c>
      <c r="D209" s="91">
        <f>79499415412.5736/(10^9)</f>
        <v>79.499415412573597</v>
      </c>
      <c r="E209" s="3">
        <f t="shared" si="19"/>
        <v>531.65515848974712</v>
      </c>
      <c r="F209" s="3">
        <f t="shared" si="19"/>
        <v>74.223266703398266</v>
      </c>
      <c r="G209" s="98">
        <f t="shared" si="16"/>
        <v>2.0013519458663538</v>
      </c>
      <c r="H209" s="42">
        <f t="shared" si="17"/>
        <v>14.335519483739242</v>
      </c>
      <c r="I209" s="3">
        <f t="shared" si="12"/>
        <v>1.9379764437467331</v>
      </c>
      <c r="J209" s="3">
        <f t="shared" si="13"/>
        <v>13.679137989445179</v>
      </c>
      <c r="K209" s="48" t="b">
        <f t="shared" si="18"/>
        <v>0</v>
      </c>
      <c r="L209" s="50"/>
    </row>
    <row r="210" spans="1:13" x14ac:dyDescent="0.3">
      <c r="A210" s="97">
        <f t="shared" si="15"/>
        <v>42430</v>
      </c>
      <c r="B210" s="91">
        <f>10337847034.8345/(10^9)</f>
        <v>10.3378470348345</v>
      </c>
      <c r="C210" s="91">
        <f>563783360630.152/(10^9)</f>
        <v>563.78336063015195</v>
      </c>
      <c r="D210" s="91">
        <f>78528605744.2509/(10^9)</f>
        <v>78.528605744250896</v>
      </c>
      <c r="E210" s="3">
        <f t="shared" si="19"/>
        <v>536.67714383853286</v>
      </c>
      <c r="F210" s="3">
        <f t="shared" si="19"/>
        <v>74.964064361276044</v>
      </c>
      <c r="G210" s="98">
        <f t="shared" si="16"/>
        <v>1.9262692949608438</v>
      </c>
      <c r="H210" s="42">
        <f t="shared" si="17"/>
        <v>13.790403605937207</v>
      </c>
      <c r="I210" s="3">
        <f t="shared" si="12"/>
        <v>1.9379764437467331</v>
      </c>
      <c r="J210" s="3">
        <f t="shared" si="13"/>
        <v>13.679137989445179</v>
      </c>
      <c r="K210" s="48" t="b">
        <f t="shared" si="18"/>
        <v>0</v>
      </c>
      <c r="L210" s="50"/>
    </row>
    <row r="211" spans="1:13" x14ac:dyDescent="0.3">
      <c r="A211" s="97">
        <f t="shared" si="15"/>
        <v>42461</v>
      </c>
      <c r="B211" s="91">
        <f>10102181562.1189/(10^9)</f>
        <v>10.102181562118901</v>
      </c>
      <c r="C211" s="91">
        <f>567759847141.022/(10^9)</f>
        <v>567.75984714102196</v>
      </c>
      <c r="D211" s="91">
        <f>77922720358.8279/(10^9)</f>
        <v>77.922720358827902</v>
      </c>
      <c r="E211" s="3">
        <f t="shared" si="19"/>
        <v>541.81636395371868</v>
      </c>
      <c r="F211" s="3">
        <f t="shared" si="19"/>
        <v>75.519238095922447</v>
      </c>
      <c r="G211" s="98">
        <f t="shared" si="16"/>
        <v>1.8645028526642686</v>
      </c>
      <c r="H211" s="42">
        <f t="shared" si="17"/>
        <v>13.376964356138485</v>
      </c>
      <c r="I211" s="3">
        <f t="shared" si="12"/>
        <v>1.9379764437467331</v>
      </c>
      <c r="J211" s="3">
        <f t="shared" si="13"/>
        <v>13.679137989445179</v>
      </c>
      <c r="K211" s="48" t="b">
        <f t="shared" si="18"/>
        <v>0</v>
      </c>
      <c r="L211" s="50"/>
    </row>
    <row r="212" spans="1:13" x14ac:dyDescent="0.3">
      <c r="A212" s="97">
        <f t="shared" si="15"/>
        <v>42491</v>
      </c>
      <c r="B212" s="91">
        <f>10236799118.8228/(10^9)</f>
        <v>10.2367991188228</v>
      </c>
      <c r="C212" s="91">
        <f>570838027892.579/(10^9)</f>
        <v>570.83802789257902</v>
      </c>
      <c r="D212" s="91">
        <f>78286320234.9265/(10^9)</f>
        <v>78.286320234926492</v>
      </c>
      <c r="E212" s="3">
        <f t="shared" si="19"/>
        <v>547.03833853187541</v>
      </c>
      <c r="F212" s="3">
        <f t="shared" si="19"/>
        <v>76.117218006720137</v>
      </c>
      <c r="G212" s="98">
        <f t="shared" si="16"/>
        <v>1.8713129222891405</v>
      </c>
      <c r="H212" s="42">
        <f t="shared" si="17"/>
        <v>13.448729981065554</v>
      </c>
      <c r="I212" s="3">
        <f t="shared" si="12"/>
        <v>1.9379764437467331</v>
      </c>
      <c r="J212" s="3">
        <f t="shared" si="13"/>
        <v>13.679137989445179</v>
      </c>
      <c r="K212" s="48" t="b">
        <f t="shared" si="18"/>
        <v>0</v>
      </c>
      <c r="L212" s="50"/>
    </row>
    <row r="213" spans="1:13" s="48" customFormat="1" x14ac:dyDescent="0.3">
      <c r="A213" s="104">
        <f t="shared" si="15"/>
        <v>42522</v>
      </c>
      <c r="B213" s="91">
        <f>12714145616.6566/(10^9)</f>
        <v>12.714145616656602</v>
      </c>
      <c r="C213" s="91">
        <f>565889988471.772/(10^9)</f>
        <v>565.88998847177197</v>
      </c>
      <c r="D213" s="91">
        <f>78465087417.9238/(10^9)</f>
        <v>78.465087417923797</v>
      </c>
      <c r="E213" s="82">
        <f t="shared" si="19"/>
        <v>551.54463736610739</v>
      </c>
      <c r="F213" s="82">
        <f t="shared" si="19"/>
        <v>76.638540227038348</v>
      </c>
      <c r="G213" s="98">
        <f t="shared" si="16"/>
        <v>2.3051888741721434</v>
      </c>
      <c r="H213" s="42">
        <f t="shared" si="17"/>
        <v>16.589754422502693</v>
      </c>
      <c r="I213" s="3">
        <f t="shared" si="12"/>
        <v>1.9379764437467331</v>
      </c>
      <c r="J213" s="3">
        <f t="shared" si="13"/>
        <v>13.679137989445179</v>
      </c>
      <c r="K213" s="48" t="b">
        <f t="shared" si="18"/>
        <v>0</v>
      </c>
      <c r="L213" s="105"/>
    </row>
    <row r="214" spans="1:13" s="48" customFormat="1" x14ac:dyDescent="0.3">
      <c r="A214" s="104">
        <f t="shared" si="15"/>
        <v>42552</v>
      </c>
      <c r="B214" s="91">
        <f>12551060071.3331/(10^9)</f>
        <v>12.551060071333099</v>
      </c>
      <c r="C214" s="91">
        <f>567780724220.431/(10^9)</f>
        <v>567.78072422043101</v>
      </c>
      <c r="D214" s="91">
        <f>78396960390.5704/(10^9)</f>
        <v>78.396960390570399</v>
      </c>
      <c r="E214" s="82">
        <f t="shared" si="19"/>
        <v>555.30504569503921</v>
      </c>
      <c r="F214" s="84">
        <f t="shared" si="19"/>
        <v>77.068975679687526</v>
      </c>
      <c r="G214" s="98">
        <f t="shared" si="16"/>
        <v>2.2602099816369856</v>
      </c>
      <c r="H214" s="42">
        <f t="shared" si="17"/>
        <v>16.285489667719933</v>
      </c>
      <c r="I214" s="3">
        <f t="shared" si="12"/>
        <v>1.9379764437467331</v>
      </c>
      <c r="J214" s="3">
        <f t="shared" si="13"/>
        <v>13.679137989445179</v>
      </c>
      <c r="K214" s="48" t="b">
        <f t="shared" si="18"/>
        <v>0</v>
      </c>
      <c r="L214" s="105"/>
      <c r="M214" s="106"/>
    </row>
    <row r="215" spans="1:13" s="48" customFormat="1" x14ac:dyDescent="0.3">
      <c r="A215" s="104">
        <f t="shared" si="15"/>
        <v>42583</v>
      </c>
      <c r="B215" s="91">
        <f>12444472574.9309/(10^9)</f>
        <v>12.4444725749309</v>
      </c>
      <c r="C215" s="91">
        <f>570729006184.043/(10^9)</f>
        <v>570.72900618404299</v>
      </c>
      <c r="D215" s="91">
        <f>79695112354.2097/(10^9)</f>
        <v>79.695112354209698</v>
      </c>
      <c r="E215" s="82">
        <f t="shared" si="19"/>
        <v>558.15920807890177</v>
      </c>
      <c r="F215" s="84">
        <f t="shared" si="19"/>
        <v>77.564876499766783</v>
      </c>
      <c r="G215" s="107">
        <f t="shared" si="16"/>
        <v>2.2295560827103191</v>
      </c>
      <c r="H215" s="108">
        <f t="shared" si="17"/>
        <v>16.043953315607119</v>
      </c>
      <c r="I215" s="3">
        <f t="shared" si="12"/>
        <v>1.9379764437467331</v>
      </c>
      <c r="J215" s="3">
        <f t="shared" si="13"/>
        <v>13.679137989445179</v>
      </c>
      <c r="K215" s="48" t="b">
        <f t="shared" si="18"/>
        <v>0</v>
      </c>
      <c r="L215" s="105"/>
    </row>
    <row r="216" spans="1:13" s="48" customFormat="1" x14ac:dyDescent="0.3">
      <c r="A216" s="104">
        <f t="shared" si="15"/>
        <v>42614</v>
      </c>
      <c r="B216" s="91">
        <f>12257172182.545/(10^9)</f>
        <v>12.257172182545</v>
      </c>
      <c r="C216" s="91">
        <f>571350410656.873/(10^9)</f>
        <v>571.35041065687301</v>
      </c>
      <c r="D216" s="91">
        <f>79546520207.491/(10^9)</f>
        <v>79.546520207491</v>
      </c>
      <c r="E216" s="82">
        <f t="shared" si="19"/>
        <v>561.04356393930459</v>
      </c>
      <c r="F216" s="84">
        <f t="shared" si="19"/>
        <v>77.979417553395095</v>
      </c>
      <c r="G216" s="98">
        <f t="shared" si="16"/>
        <v>2.1847095253143332</v>
      </c>
      <c r="H216" s="42">
        <f t="shared" si="17"/>
        <v>15.718471062126243</v>
      </c>
      <c r="I216" s="3">
        <f t="shared" si="12"/>
        <v>1.9379764437467331</v>
      </c>
      <c r="J216" s="3">
        <f t="shared" si="13"/>
        <v>13.679137989445179</v>
      </c>
      <c r="K216" s="48" t="b">
        <f t="shared" si="18"/>
        <v>0</v>
      </c>
      <c r="L216" s="105"/>
    </row>
    <row r="217" spans="1:13" s="48" customFormat="1" x14ac:dyDescent="0.3">
      <c r="A217" s="104">
        <f t="shared" si="15"/>
        <v>42644</v>
      </c>
      <c r="B217" s="91">
        <f>11863144565.5969/(10^9)</f>
        <v>11.863144565596901</v>
      </c>
      <c r="C217" s="91">
        <f>567269523811.547/(10^9)</f>
        <v>567.26952381154695</v>
      </c>
      <c r="D217" s="91">
        <f>77479219136.2914/(10^9)</f>
        <v>77.479219136291391</v>
      </c>
      <c r="E217" s="82">
        <f t="shared" si="19"/>
        <v>563.27840898697002</v>
      </c>
      <c r="F217" s="84">
        <f t="shared" si="19"/>
        <v>78.108531438882082</v>
      </c>
      <c r="G217" s="98">
        <f t="shared" si="16"/>
        <v>2.1060889919306889</v>
      </c>
      <c r="H217" s="42">
        <f t="shared" si="17"/>
        <v>15.188026643260482</v>
      </c>
      <c r="I217" s="3">
        <f t="shared" si="12"/>
        <v>1.9379764437467331</v>
      </c>
      <c r="J217" s="3">
        <f t="shared" si="13"/>
        <v>13.679137989445179</v>
      </c>
      <c r="K217" s="48" t="b">
        <f t="shared" si="18"/>
        <v>0</v>
      </c>
      <c r="L217" s="105"/>
    </row>
    <row r="218" spans="1:13" s="48" customFormat="1" x14ac:dyDescent="0.3">
      <c r="A218" s="104">
        <f t="shared" si="15"/>
        <v>42675</v>
      </c>
      <c r="B218" s="91">
        <f>11590247634.9635/(10^9)</f>
        <v>11.590247634963498</v>
      </c>
      <c r="C218" s="91">
        <f>579575067014.347/(10^9)</f>
        <v>579.57506701434704</v>
      </c>
      <c r="D218" s="91">
        <f>78187359333.7861/(10^9)</f>
        <v>78.187359333786105</v>
      </c>
      <c r="E218" s="82">
        <f t="shared" si="19"/>
        <v>565.92509846582686</v>
      </c>
      <c r="F218" s="84">
        <f t="shared" si="19"/>
        <v>78.367297392265854</v>
      </c>
      <c r="G218" s="98">
        <f t="shared" si="16"/>
        <v>2.0480179561542045</v>
      </c>
      <c r="H218" s="42">
        <f t="shared" si="17"/>
        <v>14.789648259718282</v>
      </c>
      <c r="I218" s="3">
        <f t="shared" si="12"/>
        <v>1.9379764437467331</v>
      </c>
      <c r="J218" s="3">
        <f t="shared" si="13"/>
        <v>13.679137989445179</v>
      </c>
      <c r="K218" s="48" t="b">
        <f t="shared" si="18"/>
        <v>0</v>
      </c>
      <c r="L218" s="105"/>
    </row>
    <row r="219" spans="1:13" s="48" customFormat="1" x14ac:dyDescent="0.3">
      <c r="A219" s="104">
        <f t="shared" si="15"/>
        <v>42705</v>
      </c>
      <c r="B219" s="91">
        <f>12538872010.9166/(10^9)</f>
        <v>12.538872010916599</v>
      </c>
      <c r="C219" s="91">
        <f>574636416948.565/(10^9)</f>
        <v>574.63641694856494</v>
      </c>
      <c r="D219" s="91">
        <f>80400460859.61/(10^9)</f>
        <v>80.400460859610007</v>
      </c>
      <c r="E219" s="82">
        <f t="shared" si="19"/>
        <v>567.94674026807161</v>
      </c>
      <c r="F219" s="84">
        <f t="shared" si="19"/>
        <v>78.677979763864343</v>
      </c>
      <c r="G219" s="98">
        <f t="shared" si="16"/>
        <v>2.2077549040950979</v>
      </c>
      <c r="H219" s="42">
        <f t="shared" si="17"/>
        <v>15.936952179694275</v>
      </c>
      <c r="I219" s="3">
        <f t="shared" si="12"/>
        <v>1.9379764437467331</v>
      </c>
      <c r="J219" s="3">
        <f t="shared" si="13"/>
        <v>13.679137989445179</v>
      </c>
      <c r="K219" s="48" t="b">
        <f t="shared" si="18"/>
        <v>0</v>
      </c>
      <c r="L219" s="105"/>
    </row>
    <row r="220" spans="1:13" s="48" customFormat="1" x14ac:dyDescent="0.3">
      <c r="A220" s="104">
        <f t="shared" si="15"/>
        <v>42736</v>
      </c>
      <c r="B220" s="91">
        <f>12624899678.3818/(10^9)</f>
        <v>12.6248996783818</v>
      </c>
      <c r="C220" s="91">
        <f>575720023232.306/(10^9)</f>
        <v>575.72002323230606</v>
      </c>
      <c r="D220" s="91">
        <f>80690280182.7648/(10^9)</f>
        <v>80.690280182764795</v>
      </c>
      <c r="E220" s="82">
        <f t="shared" si="19"/>
        <v>569.892974916968</v>
      </c>
      <c r="F220" s="84">
        <f t="shared" si="19"/>
        <v>78.924838469435514</v>
      </c>
      <c r="G220" s="98">
        <f t="shared" si="16"/>
        <v>2.2153106344610087</v>
      </c>
      <c r="H220" s="42">
        <f t="shared" si="17"/>
        <v>15.996104551130538</v>
      </c>
      <c r="I220" s="3">
        <f t="shared" si="12"/>
        <v>1.9379764437467331</v>
      </c>
      <c r="J220" s="3">
        <f t="shared" si="13"/>
        <v>13.679137989445179</v>
      </c>
      <c r="K220" s="48" t="b">
        <f t="shared" si="18"/>
        <v>0</v>
      </c>
      <c r="L220" s="105"/>
    </row>
    <row r="221" spans="1:13" s="48" customFormat="1" x14ac:dyDescent="0.3">
      <c r="A221" s="104">
        <f t="shared" si="15"/>
        <v>42767</v>
      </c>
      <c r="B221" s="91">
        <f>12174601413.9174/(10^9)</f>
        <v>12.174601413917401</v>
      </c>
      <c r="C221" s="91">
        <f>578519065236.827/(10^9)</f>
        <v>578.51906523682703</v>
      </c>
      <c r="D221" s="91">
        <f>80577053773.3425/(10^9)</f>
        <v>80.577053773342499</v>
      </c>
      <c r="E221" s="82">
        <f>+AVERAGE(C210:C221)</f>
        <v>571.15428845337203</v>
      </c>
      <c r="F221" s="84">
        <f t="shared" si="19"/>
        <v>79.014641666166256</v>
      </c>
      <c r="G221" s="107">
        <f t="shared" si="16"/>
        <v>2.131578394847562</v>
      </c>
      <c r="H221" s="108">
        <f t="shared" si="17"/>
        <v>15.408032178839223</v>
      </c>
      <c r="I221" s="3">
        <f t="shared" si="12"/>
        <v>1.9379764437467331</v>
      </c>
      <c r="J221" s="3">
        <f t="shared" si="13"/>
        <v>13.679137989445179</v>
      </c>
      <c r="K221" s="48" t="b">
        <f t="shared" si="18"/>
        <v>0</v>
      </c>
      <c r="L221" s="105"/>
    </row>
    <row r="222" spans="1:13" x14ac:dyDescent="0.3">
      <c r="A222" s="104">
        <f t="shared" si="15"/>
        <v>42795</v>
      </c>
      <c r="B222" s="91">
        <f>12128581178.4747/(10^9)</f>
        <v>12.1285811784747</v>
      </c>
      <c r="C222" s="91">
        <f>584405409883.199/(10^9)</f>
        <v>584.40540988319901</v>
      </c>
      <c r="D222" s="91">
        <f>78584550576.4531/(10^9)</f>
        <v>78.584550576453097</v>
      </c>
      <c r="E222" s="82">
        <f t="shared" ref="E222:F232" si="20">+AVERAGE(C211:C222)</f>
        <v>572.87279255779265</v>
      </c>
      <c r="F222" s="84">
        <f t="shared" si="19"/>
        <v>79.019303735516445</v>
      </c>
      <c r="G222" s="98">
        <f t="shared" si="16"/>
        <v>2.1171508467564624</v>
      </c>
      <c r="H222" s="42">
        <f t="shared" si="17"/>
        <v>15.348883886739845</v>
      </c>
      <c r="I222" s="3">
        <f t="shared" si="12"/>
        <v>1.9379764437467331</v>
      </c>
      <c r="J222" s="3">
        <f t="shared" si="13"/>
        <v>13.679137989445179</v>
      </c>
      <c r="K222" s="48" t="b">
        <f t="shared" si="18"/>
        <v>0</v>
      </c>
      <c r="L222" s="105"/>
    </row>
    <row r="223" spans="1:13" x14ac:dyDescent="0.3">
      <c r="A223" s="104">
        <f t="shared" si="15"/>
        <v>42826</v>
      </c>
      <c r="B223" s="91">
        <f>11996769453.9181/(10^9)</f>
        <v>11.9967694539181</v>
      </c>
      <c r="C223" s="91">
        <f>588181390821.345/(10^9)</f>
        <v>588.18139082134496</v>
      </c>
      <c r="D223" s="91">
        <f>79010009231.2557/(10^9)</f>
        <v>79.010009231255708</v>
      </c>
      <c r="E223" s="82">
        <f t="shared" si="20"/>
        <v>574.57458786448626</v>
      </c>
      <c r="F223" s="84">
        <f t="shared" si="19"/>
        <v>79.109911141552089</v>
      </c>
      <c r="G223" s="98">
        <f t="shared" si="16"/>
        <v>2.0879394437728847</v>
      </c>
      <c r="H223" s="42">
        <f t="shared" si="17"/>
        <v>15.164685790699689</v>
      </c>
      <c r="I223" s="3">
        <f t="shared" si="12"/>
        <v>1.9379764437467331</v>
      </c>
      <c r="J223" s="3">
        <f t="shared" si="13"/>
        <v>13.679137989445179</v>
      </c>
      <c r="K223" s="48" t="b">
        <f t="shared" si="18"/>
        <v>0</v>
      </c>
      <c r="L223" s="105"/>
    </row>
    <row r="224" spans="1:13" x14ac:dyDescent="0.3">
      <c r="A224" s="104">
        <f t="shared" si="15"/>
        <v>42856</v>
      </c>
      <c r="B224" s="91">
        <f>11621605354.0793/(10^9)</f>
        <v>11.6216053540793</v>
      </c>
      <c r="C224" s="91">
        <f>591546326424.869/(10^9)</f>
        <v>591.54632642486899</v>
      </c>
      <c r="D224" s="91">
        <f>79849414802.7122/(10^9)</f>
        <v>79.849414802712204</v>
      </c>
      <c r="E224" s="82">
        <f t="shared" si="20"/>
        <v>576.30027940884372</v>
      </c>
      <c r="F224" s="84">
        <f t="shared" si="20"/>
        <v>79.240169022200888</v>
      </c>
      <c r="G224" s="98">
        <f t="shared" si="16"/>
        <v>2.0165885336721492</v>
      </c>
      <c r="H224" s="42">
        <f t="shared" si="17"/>
        <v>14.666305609246303</v>
      </c>
      <c r="I224" s="3">
        <f t="shared" si="12"/>
        <v>1.9379764437467331</v>
      </c>
      <c r="J224" s="3">
        <f t="shared" si="13"/>
        <v>13.679137989445179</v>
      </c>
      <c r="K224" s="48" t="b">
        <f t="shared" si="18"/>
        <v>0</v>
      </c>
      <c r="L224" s="105"/>
    </row>
    <row r="225" spans="1:12" x14ac:dyDescent="0.3">
      <c r="A225" s="104">
        <f t="shared" si="15"/>
        <v>42887</v>
      </c>
      <c r="B225" s="91">
        <f>8955700471.80647/(10^9)</f>
        <v>8.9557004718064714</v>
      </c>
      <c r="C225" s="91">
        <f>596791101859.337/(10^9)</f>
        <v>596.791101859337</v>
      </c>
      <c r="D225" s="91">
        <f>80317812679.037/(10^9)</f>
        <v>80.317812679037004</v>
      </c>
      <c r="E225" s="82">
        <f t="shared" si="20"/>
        <v>578.87537219114085</v>
      </c>
      <c r="F225" s="84">
        <f t="shared" si="20"/>
        <v>79.394562793960333</v>
      </c>
      <c r="G225" s="98">
        <f t="shared" si="16"/>
        <v>1.5470861090371899</v>
      </c>
      <c r="H225" s="42">
        <f t="shared" si="17"/>
        <v>11.279992176602484</v>
      </c>
      <c r="I225" s="3">
        <f t="shared" si="12"/>
        <v>1.9379764437467331</v>
      </c>
      <c r="J225" s="3">
        <f t="shared" si="13"/>
        <v>13.679137989445179</v>
      </c>
      <c r="K225" s="48" t="b">
        <f t="shared" si="18"/>
        <v>0</v>
      </c>
      <c r="L225" s="105"/>
    </row>
    <row r="226" spans="1:12" x14ac:dyDescent="0.3">
      <c r="A226" s="104">
        <f t="shared" si="15"/>
        <v>42917</v>
      </c>
      <c r="B226" s="91">
        <f>8883441596.86153/(10^9)</f>
        <v>8.8834415968615303</v>
      </c>
      <c r="C226" s="91">
        <f>598023041517.484/(10^9)</f>
        <v>598.02304151748399</v>
      </c>
      <c r="D226" s="91">
        <f>81396032400.5782/(10^9)</f>
        <v>81.396032400578207</v>
      </c>
      <c r="E226" s="82">
        <f t="shared" si="20"/>
        <v>581.39556529922856</v>
      </c>
      <c r="F226" s="84">
        <f t="shared" si="20"/>
        <v>79.644485461460974</v>
      </c>
      <c r="G226" s="98">
        <f t="shared" si="16"/>
        <v>1.5279513857814624</v>
      </c>
      <c r="H226" s="42">
        <f t="shared" si="17"/>
        <v>11.153869028584689</v>
      </c>
      <c r="I226" s="3">
        <f t="shared" si="12"/>
        <v>1.9379764437467331</v>
      </c>
      <c r="J226" s="3">
        <f t="shared" si="13"/>
        <v>13.679137989445179</v>
      </c>
      <c r="K226" s="48" t="b">
        <f t="shared" si="18"/>
        <v>0</v>
      </c>
      <c r="L226" s="105"/>
    </row>
    <row r="227" spans="1:12" x14ac:dyDescent="0.3">
      <c r="A227" s="97">
        <f t="shared" si="15"/>
        <v>42948</v>
      </c>
      <c r="B227" s="91">
        <f>8600591137.13467/(10^9)</f>
        <v>8.6005911371346695</v>
      </c>
      <c r="C227" s="91">
        <f>598372943589.279/(10^9)</f>
        <v>598.37294358927909</v>
      </c>
      <c r="D227" s="91">
        <f>81495546954.0947/(10^9)</f>
        <v>81.495546954094692</v>
      </c>
      <c r="E227" s="82">
        <f t="shared" si="20"/>
        <v>583.69922674966483</v>
      </c>
      <c r="F227" s="84">
        <f t="shared" si="20"/>
        <v>79.794521678118073</v>
      </c>
      <c r="G227" s="98">
        <f t="shared" si="16"/>
        <v>1.473462828626166</v>
      </c>
      <c r="H227" s="42">
        <f t="shared" si="17"/>
        <v>10.778423074993125</v>
      </c>
      <c r="I227" s="3">
        <f t="shared" si="12"/>
        <v>1.9379764437467331</v>
      </c>
      <c r="J227" s="3">
        <f t="shared" si="13"/>
        <v>13.679137989445179</v>
      </c>
      <c r="K227" s="48" t="b">
        <f t="shared" si="18"/>
        <v>0</v>
      </c>
    </row>
    <row r="228" spans="1:12" x14ac:dyDescent="0.3">
      <c r="A228" s="104">
        <f t="shared" si="15"/>
        <v>42979</v>
      </c>
      <c r="B228" s="91">
        <f>8250833559.49631/(10^9)</f>
        <v>8.2508335594963107</v>
      </c>
      <c r="C228" s="91">
        <f>597675016486.858/(10^9)</f>
        <v>597.675016486858</v>
      </c>
      <c r="D228" s="91">
        <f>81761018551.7747/(10^9)</f>
        <v>81.761018551774697</v>
      </c>
      <c r="E228" s="82">
        <f t="shared" si="20"/>
        <v>585.89294390216355</v>
      </c>
      <c r="F228" s="84">
        <f t="shared" si="20"/>
        <v>79.979063206808362</v>
      </c>
      <c r="G228" s="98">
        <f t="shared" si="16"/>
        <v>1.4082493474907067</v>
      </c>
      <c r="H228" s="42">
        <f t="shared" si="17"/>
        <v>10.316241812137083</v>
      </c>
      <c r="I228" s="3">
        <f t="shared" si="12"/>
        <v>1.9379764437467331</v>
      </c>
      <c r="J228" s="3">
        <f t="shared" si="13"/>
        <v>13.679137989445179</v>
      </c>
      <c r="K228" s="48" t="b">
        <f t="shared" si="18"/>
        <v>0</v>
      </c>
    </row>
    <row r="229" spans="1:12" x14ac:dyDescent="0.3">
      <c r="A229" s="97">
        <f t="shared" si="15"/>
        <v>43009</v>
      </c>
      <c r="B229" s="91">
        <f>8407789386.5546/(10^9)</f>
        <v>8.4077893865545992</v>
      </c>
      <c r="C229" s="91">
        <f>601460336556.042/(10^9)</f>
        <v>601.46033655604197</v>
      </c>
      <c r="D229" s="91">
        <f>81843872735.2583/(10^9)</f>
        <v>81.843872735258302</v>
      </c>
      <c r="E229" s="82">
        <f t="shared" si="20"/>
        <v>588.74217829753809</v>
      </c>
      <c r="F229" s="84">
        <f t="shared" si="20"/>
        <v>80.342784340055616</v>
      </c>
      <c r="G229" s="98">
        <f t="shared" si="16"/>
        <v>1.4280936030211644</v>
      </c>
      <c r="H229" s="42">
        <f t="shared" si="17"/>
        <v>10.464896699332861</v>
      </c>
      <c r="I229" s="3">
        <f t="shared" si="12"/>
        <v>1.9379764437467331</v>
      </c>
      <c r="J229" s="3">
        <f t="shared" si="13"/>
        <v>13.679137989445179</v>
      </c>
      <c r="K229" s="48" t="b">
        <f t="shared" si="18"/>
        <v>0</v>
      </c>
    </row>
    <row r="230" spans="1:12" x14ac:dyDescent="0.3">
      <c r="A230" s="104">
        <f t="shared" si="15"/>
        <v>43040</v>
      </c>
      <c r="B230" s="91">
        <f>8397869767.30172/(10^9)</f>
        <v>8.3978697673017191</v>
      </c>
      <c r="C230" s="91">
        <f>608729326508.569/(10^9)</f>
        <v>608.72932650856899</v>
      </c>
      <c r="D230" s="91">
        <f>82812488322.1979/(10^9)</f>
        <v>82.812488322197908</v>
      </c>
      <c r="E230" s="82">
        <f t="shared" si="20"/>
        <v>591.17169992205675</v>
      </c>
      <c r="F230" s="84">
        <f t="shared" si="20"/>
        <v>80.72821175575659</v>
      </c>
      <c r="G230" s="98">
        <f t="shared" si="16"/>
        <v>1.4205466480227216</v>
      </c>
      <c r="H230" s="42">
        <f t="shared" si="17"/>
        <v>10.402645598925806</v>
      </c>
      <c r="I230" s="3">
        <f t="shared" si="12"/>
        <v>1.9379764437467331</v>
      </c>
      <c r="J230" s="3">
        <f t="shared" si="13"/>
        <v>13.679137989445179</v>
      </c>
      <c r="K230" s="48" t="b">
        <f t="shared" si="18"/>
        <v>0</v>
      </c>
    </row>
    <row r="231" spans="1:12" x14ac:dyDescent="0.3">
      <c r="A231" s="97">
        <f t="shared" si="15"/>
        <v>43070</v>
      </c>
      <c r="B231" s="91">
        <f>8305522693.76407/(10^9)</f>
        <v>8.30552269376407</v>
      </c>
      <c r="C231" s="91">
        <f>608551284833.623/(10^9)</f>
        <v>608.55128483362307</v>
      </c>
      <c r="D231" s="91">
        <f>83899046833.7684/(10^9)</f>
        <v>83.899046833768395</v>
      </c>
      <c r="E231" s="82">
        <f t="shared" si="20"/>
        <v>593.99793891247816</v>
      </c>
      <c r="F231" s="84">
        <f t="shared" si="20"/>
        <v>81.019760586936457</v>
      </c>
      <c r="G231" s="98">
        <f t="shared" si="16"/>
        <v>1.3982409954098909</v>
      </c>
      <c r="H231" s="42">
        <f t="shared" si="17"/>
        <v>10.251230852320296</v>
      </c>
      <c r="I231" s="3">
        <f t="shared" si="12"/>
        <v>1.9379764437467331</v>
      </c>
      <c r="J231" s="3">
        <f t="shared" si="13"/>
        <v>13.679137989445179</v>
      </c>
      <c r="K231" s="48" t="b">
        <f>+G231&lt;$G$231</f>
        <v>0</v>
      </c>
    </row>
    <row r="232" spans="1:12" x14ac:dyDescent="0.3">
      <c r="A232" s="97">
        <f t="shared" si="15"/>
        <v>43101</v>
      </c>
      <c r="B232" s="91">
        <f>8139564841.49401/(10^9)</f>
        <v>8.1395648414940105</v>
      </c>
      <c r="C232" s="91">
        <f>607145168133.436/(10^9)</f>
        <v>607.14516813343607</v>
      </c>
      <c r="D232" s="91">
        <f>84121744325.2766/(10^9)</f>
        <v>84.121744325276595</v>
      </c>
      <c r="E232" s="82">
        <f t="shared" si="20"/>
        <v>596.61670098757247</v>
      </c>
      <c r="F232" s="84">
        <f t="shared" si="20"/>
        <v>81.305715932145773</v>
      </c>
      <c r="G232" s="98">
        <f t="shared" si="16"/>
        <v>1.3642871257242191</v>
      </c>
      <c r="H232" s="42">
        <f t="shared" si="17"/>
        <v>10.011061028337711</v>
      </c>
      <c r="I232" s="3">
        <f>AVERAGE($G$173:$G$232)</f>
        <v>1.9379764437467331</v>
      </c>
      <c r="J232" s="3">
        <f t="shared" si="13"/>
        <v>13.679137989445179</v>
      </c>
      <c r="K232" s="48" t="b">
        <f t="shared" ref="K232" si="21">+G232&lt;$G$231</f>
        <v>1</v>
      </c>
      <c r="L232" s="58">
        <f>+G232-G220</f>
        <v>-0.85102350873678967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32"/>
  <sheetViews>
    <sheetView showGridLines="0" view="pageBreakPreview" zoomScale="98" zoomScaleNormal="100" zoomScaleSheetLayoutView="98" workbookViewId="0">
      <pane xSplit="1" ySplit="2" topLeftCell="F25" activePane="bottomRight" state="frozen"/>
      <selection activeCell="E27" sqref="E27"/>
      <selection pane="topRight" activeCell="E27" sqref="E27"/>
      <selection pane="bottomLeft" activeCell="E27" sqref="E27"/>
      <selection pane="bottomRight" activeCell="E27" sqref="E27"/>
    </sheetView>
  </sheetViews>
  <sheetFormatPr baseColWidth="10" defaultRowHeight="16.5" x14ac:dyDescent="0.3"/>
  <cols>
    <col min="1" max="1" width="13.85546875" style="38" bestFit="1" customWidth="1"/>
    <col min="2" max="2" width="15.85546875" style="38" customWidth="1"/>
    <col min="3" max="3" width="20" style="38" customWidth="1"/>
    <col min="4" max="4" width="17.5703125" style="38" customWidth="1"/>
    <col min="5" max="5" width="15.140625" style="38" bestFit="1" customWidth="1"/>
    <col min="6" max="6" width="14.28515625" style="38" customWidth="1"/>
    <col min="7" max="8" width="20.7109375" style="38" bestFit="1" customWidth="1"/>
    <col min="9" max="9" width="14.42578125" style="38" customWidth="1"/>
    <col min="10" max="10" width="15" style="38" customWidth="1"/>
    <col min="11" max="11" width="17.7109375" style="48" bestFit="1" customWidth="1"/>
    <col min="12" max="12" width="19.140625" style="48" bestFit="1" customWidth="1"/>
    <col min="13" max="19" width="11.42578125" style="48"/>
    <col min="20" max="16384" width="11.42578125" style="109"/>
  </cols>
  <sheetData>
    <row r="1" spans="1:12" s="67" customFormat="1" ht="26.25" customHeight="1" thickBot="1" x14ac:dyDescent="0.3">
      <c r="A1" s="91">
        <f>10^9</f>
        <v>1000000000</v>
      </c>
      <c r="B1" s="92" t="s">
        <v>42</v>
      </c>
      <c r="C1" s="92"/>
      <c r="D1" s="92" t="s">
        <v>43</v>
      </c>
      <c r="E1" s="93" t="s">
        <v>44</v>
      </c>
      <c r="F1" s="94"/>
      <c r="G1" s="94"/>
      <c r="H1" s="94"/>
      <c r="I1" s="94"/>
      <c r="J1" s="94"/>
    </row>
    <row r="2" spans="1:12" s="96" customFormat="1" ht="35.25" customHeight="1" thickBot="1" x14ac:dyDescent="0.35">
      <c r="A2" s="19" t="s">
        <v>7</v>
      </c>
      <c r="B2" s="19" t="s">
        <v>45</v>
      </c>
      <c r="C2" s="75" t="s">
        <v>46</v>
      </c>
      <c r="D2" s="19" t="s">
        <v>47</v>
      </c>
      <c r="E2" s="29" t="s">
        <v>48</v>
      </c>
      <c r="F2" s="28" t="s">
        <v>49</v>
      </c>
      <c r="G2" s="75" t="s">
        <v>50</v>
      </c>
      <c r="H2" s="19" t="s">
        <v>51</v>
      </c>
      <c r="I2" s="29" t="s">
        <v>52</v>
      </c>
      <c r="J2" s="28" t="s">
        <v>98</v>
      </c>
      <c r="K2" s="95"/>
    </row>
    <row r="3" spans="1:12" x14ac:dyDescent="0.3">
      <c r="A3" s="97">
        <v>36130</v>
      </c>
      <c r="B3" s="91">
        <f>-1684796190/(10^9)</f>
        <v>-1.6847961899999999</v>
      </c>
      <c r="C3" s="91">
        <f>79612778699/(10^9)</f>
        <v>79.612778699000003</v>
      </c>
      <c r="D3" s="91">
        <f>8660349339/(10^9)</f>
        <v>8.6603493389999997</v>
      </c>
      <c r="E3" s="3">
        <f>+AVERAGE(C3:C3)</f>
        <v>79.612778699000003</v>
      </c>
      <c r="F3" s="3">
        <f>+AVERAGE(D3:D3)</f>
        <v>8.6603493389999997</v>
      </c>
      <c r="G3" s="98">
        <f t="shared" ref="G3:G66" si="0">+B3/E3*100</f>
        <v>-2.1162383948057855</v>
      </c>
      <c r="H3" s="99">
        <f t="shared" ref="H3:H66" si="1">B3/F3*100</f>
        <v>-19.454136594847125</v>
      </c>
      <c r="I3" s="100"/>
      <c r="J3" s="101"/>
      <c r="K3" s="48" t="b">
        <f t="shared" ref="K3:K66" si="2">+G3&lt;$G$231</f>
        <v>1</v>
      </c>
    </row>
    <row r="4" spans="1:12" x14ac:dyDescent="0.3">
      <c r="A4" s="97">
        <v>36161</v>
      </c>
      <c r="B4" s="91">
        <f>-1822629641/(10^9)</f>
        <v>-1.822629641</v>
      </c>
      <c r="C4" s="91">
        <f>80469936355/(10^9)</f>
        <v>80.469936355000002</v>
      </c>
      <c r="D4" s="91">
        <f>8595688444/(10^9)</f>
        <v>8.5956884440000003</v>
      </c>
      <c r="E4" s="3">
        <f>+AVERAGE(C3:C4)</f>
        <v>80.041357527000002</v>
      </c>
      <c r="F4" s="3">
        <f>+AVERAGE(D3:D4)</f>
        <v>8.6280188915</v>
      </c>
      <c r="G4" s="98">
        <f t="shared" si="0"/>
        <v>-2.2771098558456861</v>
      </c>
      <c r="H4" s="42">
        <f t="shared" si="1"/>
        <v>-21.124543929726279</v>
      </c>
      <c r="I4" s="3"/>
      <c r="J4" s="102"/>
      <c r="K4" s="48" t="b">
        <f t="shared" si="2"/>
        <v>1</v>
      </c>
      <c r="L4" s="40"/>
    </row>
    <row r="5" spans="1:12" x14ac:dyDescent="0.3">
      <c r="A5" s="97">
        <v>36192</v>
      </c>
      <c r="B5" s="91">
        <f>-2033846869/(10^9)</f>
        <v>-2.033846869</v>
      </c>
      <c r="C5" s="91">
        <f>79754016250/(10^9)</f>
        <v>79.754016250000006</v>
      </c>
      <c r="D5" s="91">
        <f>8625379160/(10^9)</f>
        <v>8.6253791599999996</v>
      </c>
      <c r="E5" s="3">
        <f>+AVERAGE(C3:C5)</f>
        <v>79.945577101333342</v>
      </c>
      <c r="F5" s="3">
        <f>+AVERAGE(D3:D5)</f>
        <v>8.6271389809999999</v>
      </c>
      <c r="G5" s="98">
        <f t="shared" si="0"/>
        <v>-2.5440392611364104</v>
      </c>
      <c r="H5" s="42">
        <f t="shared" si="1"/>
        <v>-23.57498671899511</v>
      </c>
      <c r="I5" s="3"/>
      <c r="J5" s="102"/>
      <c r="K5" s="48" t="b">
        <f t="shared" si="2"/>
        <v>1</v>
      </c>
    </row>
    <row r="6" spans="1:12" x14ac:dyDescent="0.3">
      <c r="A6" s="97">
        <v>36220</v>
      </c>
      <c r="B6" s="91">
        <f>-2202233845/(10^9)</f>
        <v>-2.2022338449999999</v>
      </c>
      <c r="C6" s="91">
        <f>78721626524/(10^9)</f>
        <v>78.721626524000001</v>
      </c>
      <c r="D6" s="91">
        <f>8570775323/(10^9)</f>
        <v>8.5707753229999994</v>
      </c>
      <c r="E6" s="3">
        <f>+AVERAGE(C3:C6)</f>
        <v>79.639589457</v>
      </c>
      <c r="F6" s="3">
        <f>+AVERAGE(D3:D6)</f>
        <v>8.6130480664999993</v>
      </c>
      <c r="G6" s="98">
        <f t="shared" si="0"/>
        <v>-2.76525012247716</v>
      </c>
      <c r="H6" s="42">
        <f t="shared" si="1"/>
        <v>-25.568577209797233</v>
      </c>
      <c r="I6" s="3"/>
      <c r="J6" s="102"/>
      <c r="K6" s="48" t="b">
        <f t="shared" si="2"/>
        <v>1</v>
      </c>
    </row>
    <row r="7" spans="1:12" x14ac:dyDescent="0.3">
      <c r="A7" s="97">
        <v>36251</v>
      </c>
      <c r="B7" s="91">
        <f>-2405657110/(10^9)</f>
        <v>-2.4056571099999999</v>
      </c>
      <c r="C7" s="91">
        <f>79178034273/(10^9)</f>
        <v>79.178034272999994</v>
      </c>
      <c r="D7" s="91">
        <f>8529356738/(10^9)</f>
        <v>8.5293567380000006</v>
      </c>
      <c r="E7" s="3">
        <f>+AVERAGE(C3:C7)</f>
        <v>79.547278420200001</v>
      </c>
      <c r="F7" s="3">
        <f>+AVERAGE(D3:D7)</f>
        <v>8.5963098008000003</v>
      </c>
      <c r="G7" s="98">
        <f t="shared" si="0"/>
        <v>-3.0241853119001423</v>
      </c>
      <c r="H7" s="42">
        <f t="shared" si="1"/>
        <v>-27.984765157906732</v>
      </c>
      <c r="I7" s="3"/>
      <c r="J7" s="102"/>
      <c r="K7" s="48" t="b">
        <f t="shared" si="2"/>
        <v>1</v>
      </c>
    </row>
    <row r="8" spans="1:12" x14ac:dyDescent="0.3">
      <c r="A8" s="97">
        <v>36281</v>
      </c>
      <c r="B8" s="91">
        <f>-2551287143/(10^9)</f>
        <v>-2.5512871430000001</v>
      </c>
      <c r="C8" s="91">
        <f>78185665266/(10^9)</f>
        <v>78.185665266000001</v>
      </c>
      <c r="D8" s="91">
        <f>8375474594/(10^9)</f>
        <v>8.3754745939999999</v>
      </c>
      <c r="E8" s="3">
        <f>+AVERAGE(C3:C8)</f>
        <v>79.320342894500001</v>
      </c>
      <c r="F8" s="3">
        <f>+AVERAGE(D3:D8)</f>
        <v>8.5595039330000002</v>
      </c>
      <c r="G8" s="98">
        <f t="shared" si="0"/>
        <v>-3.2164348386558781</v>
      </c>
      <c r="H8" s="42">
        <f t="shared" si="1"/>
        <v>-29.806483681418271</v>
      </c>
      <c r="I8" s="3"/>
      <c r="J8" s="102"/>
      <c r="K8" s="48" t="b">
        <f t="shared" si="2"/>
        <v>1</v>
      </c>
    </row>
    <row r="9" spans="1:12" x14ac:dyDescent="0.3">
      <c r="A9" s="97">
        <v>36312</v>
      </c>
      <c r="B9" s="91">
        <f>-2643953376/(10^9)</f>
        <v>-2.6439533759999998</v>
      </c>
      <c r="C9" s="91">
        <f>77877366948/(10^9)</f>
        <v>77.877366948000002</v>
      </c>
      <c r="D9" s="91">
        <f>8476621190/(10^9)</f>
        <v>8.4766211899999995</v>
      </c>
      <c r="E9" s="3">
        <f>+AVERAGE(C3:C9)</f>
        <v>79.114203473571436</v>
      </c>
      <c r="F9" s="3">
        <f>+AVERAGE(D3:D9)</f>
        <v>8.5476635411428568</v>
      </c>
      <c r="G9" s="98">
        <f t="shared" si="0"/>
        <v>-3.3419452638276614</v>
      </c>
      <c r="H9" s="42">
        <f t="shared" si="1"/>
        <v>-30.931884055493512</v>
      </c>
      <c r="I9" s="3"/>
      <c r="J9" s="102"/>
      <c r="K9" s="48" t="b">
        <f t="shared" si="2"/>
        <v>1</v>
      </c>
    </row>
    <row r="10" spans="1:12" x14ac:dyDescent="0.3">
      <c r="A10" s="97">
        <v>36342</v>
      </c>
      <c r="B10" s="91">
        <f>-2629416331/(10^9)</f>
        <v>-2.6294163309999998</v>
      </c>
      <c r="C10" s="91">
        <f>78044354859/(10^9)</f>
        <v>78.044354858999995</v>
      </c>
      <c r="D10" s="91">
        <f>8642505941/(10^9)</f>
        <v>8.6425059409999996</v>
      </c>
      <c r="E10" s="3">
        <f>+AVERAGE(C3:C10)</f>
        <v>78.980472396750002</v>
      </c>
      <c r="F10" s="3">
        <f>+AVERAGE(D3:D10)</f>
        <v>8.5595188411249996</v>
      </c>
      <c r="G10" s="98">
        <f t="shared" si="0"/>
        <v>-3.3291980298514887</v>
      </c>
      <c r="H10" s="42">
        <f t="shared" si="1"/>
        <v>-30.719207233550627</v>
      </c>
      <c r="I10" s="3"/>
      <c r="J10" s="102"/>
      <c r="K10" s="48" t="b">
        <f t="shared" si="2"/>
        <v>1</v>
      </c>
    </row>
    <row r="11" spans="1:12" x14ac:dyDescent="0.3">
      <c r="A11" s="97">
        <v>36373</v>
      </c>
      <c r="B11" s="91">
        <f>-2798992751/(10^9)</f>
        <v>-2.7989927510000001</v>
      </c>
      <c r="C11" s="91">
        <f>79301188972/(10^9)</f>
        <v>79.301188972000006</v>
      </c>
      <c r="D11" s="91">
        <f>9347980233/(10^9)</f>
        <v>9.3479802329999995</v>
      </c>
      <c r="E11" s="3">
        <f>+AVERAGE(C3:C11)</f>
        <v>79.016107571777781</v>
      </c>
      <c r="F11" s="3">
        <f>+AVERAGE(D3:D11)</f>
        <v>8.647125662444445</v>
      </c>
      <c r="G11" s="98">
        <f t="shared" si="0"/>
        <v>-3.5423065461145513</v>
      </c>
      <c r="H11" s="42">
        <f t="shared" si="1"/>
        <v>-32.36905372101134</v>
      </c>
      <c r="I11" s="3"/>
      <c r="J11" s="102"/>
      <c r="K11" s="48" t="b">
        <f t="shared" si="2"/>
        <v>1</v>
      </c>
    </row>
    <row r="12" spans="1:12" x14ac:dyDescent="0.3">
      <c r="A12" s="97">
        <v>36404</v>
      </c>
      <c r="B12" s="91">
        <f>-3051751229/(10^9)</f>
        <v>-3.0517512290000002</v>
      </c>
      <c r="C12" s="91">
        <f>80796369583/(10^9)</f>
        <v>80.796369583000001</v>
      </c>
      <c r="D12" s="91">
        <f>9958265913/(10^9)</f>
        <v>9.958265913</v>
      </c>
      <c r="E12" s="3">
        <f>+AVERAGE(C3:C12)</f>
        <v>79.194133772900003</v>
      </c>
      <c r="F12" s="3">
        <f>+AVERAGE(D3:D12)</f>
        <v>8.7782396875000011</v>
      </c>
      <c r="G12" s="98">
        <f t="shared" si="0"/>
        <v>-3.8535066722887756</v>
      </c>
      <c r="H12" s="42">
        <f t="shared" si="1"/>
        <v>-34.764956729828413</v>
      </c>
      <c r="I12" s="3"/>
      <c r="J12" s="102"/>
      <c r="K12" s="48" t="b">
        <f t="shared" si="2"/>
        <v>1</v>
      </c>
    </row>
    <row r="13" spans="1:12" x14ac:dyDescent="0.3">
      <c r="A13" s="97">
        <v>36434</v>
      </c>
      <c r="B13" s="91">
        <f>-2929488438/(10^9)</f>
        <v>-2.9294884379999999</v>
      </c>
      <c r="C13" s="91">
        <f>79990990339/(10^9)</f>
        <v>79.990990339000007</v>
      </c>
      <c r="D13" s="91">
        <f>9770096693/(10^9)</f>
        <v>9.7700966929999993</v>
      </c>
      <c r="E13" s="3">
        <f>+AVERAGE(C3:C13)</f>
        <v>79.266575278909102</v>
      </c>
      <c r="F13" s="3">
        <f>+AVERAGE(D3:D13)</f>
        <v>8.8684085061818188</v>
      </c>
      <c r="G13" s="98">
        <f t="shared" si="0"/>
        <v>-3.695742408060696</v>
      </c>
      <c r="H13" s="42">
        <f t="shared" si="1"/>
        <v>-33.032854045435194</v>
      </c>
      <c r="I13" s="3"/>
      <c r="J13" s="102"/>
      <c r="K13" s="48" t="b">
        <f t="shared" si="2"/>
        <v>1</v>
      </c>
    </row>
    <row r="14" spans="1:12" x14ac:dyDescent="0.3">
      <c r="A14" s="97">
        <v>36465</v>
      </c>
      <c r="B14" s="91">
        <f>-2922398552/(10^9)</f>
        <v>-2.9223985520000002</v>
      </c>
      <c r="C14" s="91">
        <f>80637229474/(10^9)</f>
        <v>80.637229473999994</v>
      </c>
      <c r="D14" s="91">
        <f>9630815785/(10^9)</f>
        <v>9.6308157849999994</v>
      </c>
      <c r="E14" s="3">
        <f t="shared" ref="E14:F51" si="3">+AVERAGE(C3:C14)</f>
        <v>79.380796461833341</v>
      </c>
      <c r="F14" s="3">
        <f t="shared" si="3"/>
        <v>8.9319424460833332</v>
      </c>
      <c r="G14" s="98">
        <f t="shared" si="0"/>
        <v>-3.6814931094891485</v>
      </c>
      <c r="H14" s="42">
        <f t="shared" si="1"/>
        <v>-32.718510779046447</v>
      </c>
      <c r="I14" s="3"/>
      <c r="J14" s="102"/>
      <c r="K14" s="48" t="b">
        <f t="shared" si="2"/>
        <v>1</v>
      </c>
    </row>
    <row r="15" spans="1:12" x14ac:dyDescent="0.3">
      <c r="A15" s="97">
        <v>36495</v>
      </c>
      <c r="B15" s="91">
        <f>-2903933352/(10^9)</f>
        <v>-2.9039333520000001</v>
      </c>
      <c r="C15" s="91">
        <f>80136022670/(10^9)</f>
        <v>80.136022670000003</v>
      </c>
      <c r="D15" s="91">
        <f>8912061319/(10^9)</f>
        <v>8.9120613189999993</v>
      </c>
      <c r="E15" s="3">
        <f t="shared" si="3"/>
        <v>79.424400126083341</v>
      </c>
      <c r="F15" s="3">
        <f t="shared" si="3"/>
        <v>8.9529184444166656</v>
      </c>
      <c r="G15" s="98">
        <f t="shared" si="0"/>
        <v>-3.6562232102352827</v>
      </c>
      <c r="H15" s="42">
        <f t="shared" si="1"/>
        <v>-32.435605998522057</v>
      </c>
      <c r="I15" s="3"/>
      <c r="J15" s="102"/>
      <c r="K15" s="48" t="b">
        <f t="shared" si="2"/>
        <v>1</v>
      </c>
    </row>
    <row r="16" spans="1:12" x14ac:dyDescent="0.3">
      <c r="A16" s="97">
        <v>36526</v>
      </c>
      <c r="B16" s="91">
        <f>-2812879923/(10^9)</f>
        <v>-2.8128799230000001</v>
      </c>
      <c r="C16" s="91">
        <f>80603404128/(10^9)</f>
        <v>80.603404127999994</v>
      </c>
      <c r="D16" s="91">
        <f>9016294494/(10^9)</f>
        <v>9.0162944940000003</v>
      </c>
      <c r="E16" s="3">
        <f t="shared" si="3"/>
        <v>79.435522440499994</v>
      </c>
      <c r="F16" s="3">
        <f t="shared" si="3"/>
        <v>8.9879689485833349</v>
      </c>
      <c r="G16" s="98">
        <f t="shared" si="0"/>
        <v>-3.5410856963985431</v>
      </c>
      <c r="H16" s="42">
        <f t="shared" si="1"/>
        <v>-31.296057419550394</v>
      </c>
      <c r="I16" s="3"/>
      <c r="J16" s="102"/>
      <c r="K16" s="48" t="b">
        <f t="shared" si="2"/>
        <v>1</v>
      </c>
    </row>
    <row r="17" spans="1:19" x14ac:dyDescent="0.3">
      <c r="A17" s="97">
        <v>36557</v>
      </c>
      <c r="B17" s="91">
        <f>-2607757559/(10^9)</f>
        <v>-2.6077575589999999</v>
      </c>
      <c r="C17" s="91">
        <f>77295379758/(10^9)</f>
        <v>77.295379757999996</v>
      </c>
      <c r="D17" s="91">
        <f>9030446419/(10^9)</f>
        <v>9.0304464190000004</v>
      </c>
      <c r="E17" s="3">
        <f t="shared" si="3"/>
        <v>79.230636066166667</v>
      </c>
      <c r="F17" s="3">
        <f t="shared" si="3"/>
        <v>9.0217245534999986</v>
      </c>
      <c r="G17" s="98">
        <f t="shared" si="0"/>
        <v>-3.2913500237739139</v>
      </c>
      <c r="H17" s="42">
        <f t="shared" si="1"/>
        <v>-28.90531121334573</v>
      </c>
      <c r="I17" s="3"/>
      <c r="J17" s="102"/>
      <c r="K17" s="48" t="b">
        <f t="shared" si="2"/>
        <v>1</v>
      </c>
    </row>
    <row r="18" spans="1:19" x14ac:dyDescent="0.3">
      <c r="A18" s="97">
        <v>36586</v>
      </c>
      <c r="B18" s="91">
        <f>-2551153503/(10^9)</f>
        <v>-2.5511535030000001</v>
      </c>
      <c r="C18" s="91">
        <f>77304034628/(10^9)</f>
        <v>77.304034627999997</v>
      </c>
      <c r="D18" s="91">
        <f>9293356269/(10^9)</f>
        <v>9.2933562690000002</v>
      </c>
      <c r="E18" s="3">
        <f t="shared" si="3"/>
        <v>79.11250340816666</v>
      </c>
      <c r="F18" s="3">
        <f t="shared" si="3"/>
        <v>9.0819396323333326</v>
      </c>
      <c r="G18" s="98">
        <f t="shared" si="0"/>
        <v>-3.2247159337605393</v>
      </c>
      <c r="H18" s="42">
        <f t="shared" si="1"/>
        <v>-28.090403661321822</v>
      </c>
      <c r="I18" s="3"/>
      <c r="J18" s="102"/>
      <c r="K18" s="48" t="b">
        <f t="shared" si="2"/>
        <v>1</v>
      </c>
    </row>
    <row r="19" spans="1:19" x14ac:dyDescent="0.3">
      <c r="A19" s="97">
        <v>36617</v>
      </c>
      <c r="B19" s="91">
        <f>-2877517502/(10^9)</f>
        <v>-2.8775175019999999</v>
      </c>
      <c r="C19" s="91">
        <f>77888103008/(10^9)</f>
        <v>77.888103008000002</v>
      </c>
      <c r="D19" s="91">
        <f>9196414540/(10^9)</f>
        <v>9.1964145399999992</v>
      </c>
      <c r="E19" s="3">
        <f t="shared" si="3"/>
        <v>79.005009136083331</v>
      </c>
      <c r="F19" s="3">
        <f t="shared" si="3"/>
        <v>9.1375277825000012</v>
      </c>
      <c r="G19" s="98">
        <f t="shared" si="0"/>
        <v>-3.6421962777620567</v>
      </c>
      <c r="H19" s="42">
        <f t="shared" si="1"/>
        <v>-31.491203862722696</v>
      </c>
      <c r="I19" s="3"/>
      <c r="J19" s="102"/>
      <c r="K19" s="48" t="b">
        <f t="shared" si="2"/>
        <v>1</v>
      </c>
    </row>
    <row r="20" spans="1:19" x14ac:dyDescent="0.3">
      <c r="A20" s="97">
        <v>36647</v>
      </c>
      <c r="B20" s="91">
        <f>-2921250420/(10^9)</f>
        <v>-2.9212504199999998</v>
      </c>
      <c r="C20" s="91">
        <f>78072138915/(10^9)</f>
        <v>78.072138914999996</v>
      </c>
      <c r="D20" s="91">
        <f>9324235726/(10^9)</f>
        <v>9.3242357259999995</v>
      </c>
      <c r="E20" s="3">
        <f t="shared" si="3"/>
        <v>78.995548606833324</v>
      </c>
      <c r="F20" s="3">
        <f t="shared" si="3"/>
        <v>9.2165912101666674</v>
      </c>
      <c r="G20" s="98">
        <f t="shared" si="0"/>
        <v>-3.6979937116954256</v>
      </c>
      <c r="H20" s="42">
        <f t="shared" si="1"/>
        <v>-31.695562419841483</v>
      </c>
      <c r="I20" s="3"/>
      <c r="J20" s="102"/>
      <c r="K20" s="48" t="b">
        <f t="shared" si="2"/>
        <v>1</v>
      </c>
    </row>
    <row r="21" spans="1:19" x14ac:dyDescent="0.3">
      <c r="A21" s="97">
        <v>36678</v>
      </c>
      <c r="B21" s="91">
        <f>-2967910480/(10^9)</f>
        <v>-2.96791048</v>
      </c>
      <c r="C21" s="91">
        <f>77605701987/(10^9)</f>
        <v>77.605701987000003</v>
      </c>
      <c r="D21" s="91">
        <f>9055914208/(10^9)</f>
        <v>9.0559142080000008</v>
      </c>
      <c r="E21" s="3">
        <f t="shared" si="3"/>
        <v>78.97290986008332</v>
      </c>
      <c r="F21" s="3">
        <f t="shared" si="3"/>
        <v>9.2648656283333342</v>
      </c>
      <c r="G21" s="98">
        <f t="shared" si="0"/>
        <v>-3.7581374236535807</v>
      </c>
      <c r="H21" s="42">
        <f t="shared" si="1"/>
        <v>-32.034036963511795</v>
      </c>
      <c r="I21" s="3"/>
      <c r="J21" s="102"/>
      <c r="K21" s="48" t="b">
        <f t="shared" si="2"/>
        <v>1</v>
      </c>
    </row>
    <row r="22" spans="1:19" x14ac:dyDescent="0.3">
      <c r="A22" s="97">
        <v>36708</v>
      </c>
      <c r="B22" s="91">
        <f>-3064631671/(10^9)</f>
        <v>-3.0646316709999999</v>
      </c>
      <c r="C22" s="91">
        <f>77701414662/(10^9)</f>
        <v>77.701414662000005</v>
      </c>
      <c r="D22" s="91">
        <f>9047949097/(10^9)</f>
        <v>9.0479490970000001</v>
      </c>
      <c r="E22" s="3">
        <f t="shared" si="3"/>
        <v>78.944331510333328</v>
      </c>
      <c r="F22" s="3">
        <f t="shared" si="3"/>
        <v>9.2986525579999988</v>
      </c>
      <c r="G22" s="98">
        <f t="shared" si="0"/>
        <v>-3.8820161148604551</v>
      </c>
      <c r="H22" s="42">
        <f t="shared" si="1"/>
        <v>-32.957803852595568</v>
      </c>
      <c r="I22" s="3"/>
      <c r="J22" s="102"/>
      <c r="K22" s="48" t="b">
        <f t="shared" si="2"/>
        <v>1</v>
      </c>
    </row>
    <row r="23" spans="1:19" x14ac:dyDescent="0.3">
      <c r="A23" s="97">
        <v>36739</v>
      </c>
      <c r="B23" s="91">
        <f>-3043770341/(10^9)</f>
        <v>-3.0437703410000001</v>
      </c>
      <c r="C23" s="91">
        <f>77298952096/(10^9)</f>
        <v>77.298952095999994</v>
      </c>
      <c r="D23" s="91">
        <f>8818176111/(10^9)</f>
        <v>8.8181761109999997</v>
      </c>
      <c r="E23" s="3">
        <f t="shared" si="3"/>
        <v>78.777478437333329</v>
      </c>
      <c r="F23" s="3">
        <f t="shared" si="3"/>
        <v>9.2545022145000004</v>
      </c>
      <c r="G23" s="98">
        <f t="shared" si="0"/>
        <v>-3.8637570043845564</v>
      </c>
      <c r="H23" s="42">
        <f t="shared" si="1"/>
        <v>-32.889617079900916</v>
      </c>
      <c r="I23" s="3"/>
      <c r="J23" s="102"/>
      <c r="K23" s="48" t="b">
        <f t="shared" si="2"/>
        <v>1</v>
      </c>
    </row>
    <row r="24" spans="1:19" x14ac:dyDescent="0.3">
      <c r="A24" s="97">
        <v>36770</v>
      </c>
      <c r="B24" s="91">
        <f>-2857287368/(10^9)</f>
        <v>-2.8572873680000002</v>
      </c>
      <c r="C24" s="91">
        <f>77588229693/(10^9)</f>
        <v>77.588229693000002</v>
      </c>
      <c r="D24" s="91">
        <f>9264229188/(10^9)</f>
        <v>9.2642291879999998</v>
      </c>
      <c r="E24" s="3">
        <f t="shared" si="3"/>
        <v>78.510133446499992</v>
      </c>
      <c r="F24" s="3">
        <f t="shared" si="3"/>
        <v>9.1966658207500007</v>
      </c>
      <c r="G24" s="98">
        <f t="shared" si="0"/>
        <v>-3.639386716807802</v>
      </c>
      <c r="H24" s="42">
        <f t="shared" si="1"/>
        <v>-31.068731034602109</v>
      </c>
      <c r="I24" s="3"/>
      <c r="J24" s="102"/>
      <c r="K24" s="48" t="b">
        <f t="shared" si="2"/>
        <v>1</v>
      </c>
    </row>
    <row r="25" spans="1:19" x14ac:dyDescent="0.3">
      <c r="A25" s="97">
        <v>36800</v>
      </c>
      <c r="B25" s="91">
        <f>-2457199005/(10^9)</f>
        <v>-2.4571990050000001</v>
      </c>
      <c r="C25" s="91">
        <f>78344698181/(10^9)</f>
        <v>78.344698180999998</v>
      </c>
      <c r="D25" s="91">
        <f>9565306699/(10^9)</f>
        <v>9.5653066990000006</v>
      </c>
      <c r="E25" s="3">
        <f t="shared" si="3"/>
        <v>78.372942433333336</v>
      </c>
      <c r="F25" s="3">
        <f t="shared" si="3"/>
        <v>9.1795999879166672</v>
      </c>
      <c r="G25" s="98">
        <f t="shared" si="0"/>
        <v>-3.1352644531499836</v>
      </c>
      <c r="H25" s="42">
        <f t="shared" si="1"/>
        <v>-26.768040091447027</v>
      </c>
      <c r="I25" s="3"/>
      <c r="J25" s="102"/>
      <c r="K25" s="48" t="b">
        <f t="shared" si="2"/>
        <v>1</v>
      </c>
    </row>
    <row r="26" spans="1:19" x14ac:dyDescent="0.3">
      <c r="A26" s="97">
        <v>36831</v>
      </c>
      <c r="B26" s="91">
        <f>-2377433230/(10^9)</f>
        <v>-2.3774332299999998</v>
      </c>
      <c r="C26" s="91">
        <f>78835000489/(10^9)</f>
        <v>78.835000488999995</v>
      </c>
      <c r="D26" s="91">
        <f>9276717432/(10^9)</f>
        <v>9.2767174319999999</v>
      </c>
      <c r="E26" s="3">
        <f t="shared" si="3"/>
        <v>78.222756684583331</v>
      </c>
      <c r="F26" s="3">
        <f t="shared" si="3"/>
        <v>9.1500917918333329</v>
      </c>
      <c r="G26" s="98">
        <f t="shared" si="0"/>
        <v>-3.0393114878148499</v>
      </c>
      <c r="H26" s="42">
        <f t="shared" si="1"/>
        <v>-25.982616175740592</v>
      </c>
      <c r="I26" s="3"/>
      <c r="J26" s="102"/>
      <c r="K26" s="48" t="b">
        <f t="shared" si="2"/>
        <v>1</v>
      </c>
    </row>
    <row r="27" spans="1:19" x14ac:dyDescent="0.3">
      <c r="A27" s="97">
        <v>36861</v>
      </c>
      <c r="B27" s="91">
        <f>-1833583813/(10^9)</f>
        <v>-1.833583813</v>
      </c>
      <c r="C27" s="91">
        <f>79710559197/(10^9)</f>
        <v>79.710559196999995</v>
      </c>
      <c r="D27" s="91">
        <f>8870160334/(10^9)</f>
        <v>8.8701603339999995</v>
      </c>
      <c r="E27" s="3">
        <f t="shared" si="3"/>
        <v>78.187301395166671</v>
      </c>
      <c r="F27" s="3">
        <f t="shared" si="3"/>
        <v>9.1466000430833336</v>
      </c>
      <c r="G27" s="98">
        <f t="shared" si="0"/>
        <v>-2.345117148541652</v>
      </c>
      <c r="H27" s="42">
        <f t="shared" si="1"/>
        <v>-20.046616276684773</v>
      </c>
      <c r="I27" s="3"/>
      <c r="J27" s="102"/>
      <c r="K27" s="48" t="b">
        <f t="shared" si="2"/>
        <v>1</v>
      </c>
      <c r="L27" s="85"/>
    </row>
    <row r="28" spans="1:19" x14ac:dyDescent="0.3">
      <c r="A28" s="97">
        <v>36892</v>
      </c>
      <c r="B28" s="91">
        <f>-1800965093/(10^9)</f>
        <v>-1.8009650930000001</v>
      </c>
      <c r="C28" s="91">
        <f>79353841999/(10^9)</f>
        <v>79.353841998999997</v>
      </c>
      <c r="D28" s="91">
        <f>8882971931/(10^9)</f>
        <v>8.8829719310000002</v>
      </c>
      <c r="E28" s="3">
        <f t="shared" si="3"/>
        <v>78.083171217749992</v>
      </c>
      <c r="F28" s="3">
        <f t="shared" si="3"/>
        <v>9.1354898295000009</v>
      </c>
      <c r="G28" s="98">
        <f t="shared" si="0"/>
        <v>-2.3064702226010536</v>
      </c>
      <c r="H28" s="42">
        <f t="shared" si="1"/>
        <v>-19.713941196501441</v>
      </c>
      <c r="I28" s="3"/>
      <c r="J28" s="102"/>
      <c r="K28" s="48" t="b">
        <f t="shared" si="2"/>
        <v>1</v>
      </c>
    </row>
    <row r="29" spans="1:19" x14ac:dyDescent="0.3">
      <c r="A29" s="97">
        <v>36923</v>
      </c>
      <c r="B29" s="91">
        <f>-1807742003/(10^9)</f>
        <v>-1.807742003</v>
      </c>
      <c r="C29" s="91">
        <f>78635952193/(10^9)</f>
        <v>78.635952192999994</v>
      </c>
      <c r="D29" s="91">
        <f>9006973546/(10^9)</f>
        <v>9.0069735459999993</v>
      </c>
      <c r="E29" s="3">
        <f t="shared" si="3"/>
        <v>78.194885587333317</v>
      </c>
      <c r="F29" s="3">
        <f t="shared" si="3"/>
        <v>9.1335337567499995</v>
      </c>
      <c r="G29" s="98">
        <f t="shared" si="0"/>
        <v>-2.3118417392925168</v>
      </c>
      <c r="H29" s="42">
        <f t="shared" si="1"/>
        <v>-19.792361326348804</v>
      </c>
      <c r="I29" s="3"/>
      <c r="J29" s="102"/>
      <c r="K29" s="48" t="b">
        <f t="shared" si="2"/>
        <v>1</v>
      </c>
      <c r="L29" s="150" t="s">
        <v>97</v>
      </c>
      <c r="M29" s="125"/>
      <c r="N29" s="125"/>
      <c r="O29" s="125"/>
      <c r="P29" s="125"/>
      <c r="Q29" s="125"/>
      <c r="R29" s="125"/>
      <c r="S29" s="125"/>
    </row>
    <row r="30" spans="1:19" x14ac:dyDescent="0.3">
      <c r="A30" s="97">
        <v>36951</v>
      </c>
      <c r="B30" s="91">
        <f>-1550580347/(10^9)</f>
        <v>-1.5505803469999999</v>
      </c>
      <c r="C30" s="91">
        <f>78758727771/(10^9)</f>
        <v>78.758727770999997</v>
      </c>
      <c r="D30" s="91">
        <f>8977791492/(10^9)</f>
        <v>8.9777914919999997</v>
      </c>
      <c r="E30" s="3">
        <f t="shared" si="3"/>
        <v>78.316110015916664</v>
      </c>
      <c r="F30" s="3">
        <f t="shared" si="3"/>
        <v>9.107236691999999</v>
      </c>
      <c r="G30" s="98">
        <f t="shared" si="0"/>
        <v>-1.9798995975219735</v>
      </c>
      <c r="H30" s="42">
        <f t="shared" si="1"/>
        <v>-17.025804856505644</v>
      </c>
      <c r="I30" s="3"/>
      <c r="J30" s="102"/>
      <c r="K30" s="48" t="b">
        <f t="shared" si="2"/>
        <v>1</v>
      </c>
      <c r="L30" s="125"/>
      <c r="M30" s="125"/>
      <c r="N30" s="125"/>
      <c r="O30" s="125"/>
      <c r="P30" s="125"/>
      <c r="Q30" s="125"/>
      <c r="R30" s="125"/>
      <c r="S30" s="125"/>
    </row>
    <row r="31" spans="1:19" x14ac:dyDescent="0.3">
      <c r="A31" s="97">
        <v>36982</v>
      </c>
      <c r="B31" s="91">
        <f>-978695109/(10^9)</f>
        <v>-0.97869510900000001</v>
      </c>
      <c r="C31" s="91">
        <f>79352513890/(10^9)</f>
        <v>79.352513889999997</v>
      </c>
      <c r="D31" s="91">
        <f>9077472262/(10^9)</f>
        <v>9.0774722620000006</v>
      </c>
      <c r="E31" s="3">
        <f t="shared" si="3"/>
        <v>78.438144256083319</v>
      </c>
      <c r="F31" s="3">
        <f t="shared" si="3"/>
        <v>9.0973248355000003</v>
      </c>
      <c r="G31" s="98">
        <f t="shared" si="0"/>
        <v>-1.2477285360102037</v>
      </c>
      <c r="H31" s="42">
        <f t="shared" si="1"/>
        <v>-10.758053897129086</v>
      </c>
      <c r="I31" s="3"/>
      <c r="J31" s="102"/>
      <c r="K31" s="48" t="b">
        <f t="shared" si="2"/>
        <v>1</v>
      </c>
      <c r="L31" s="125"/>
      <c r="M31" s="125"/>
      <c r="N31" s="125"/>
      <c r="O31" s="125"/>
      <c r="P31" s="125"/>
      <c r="Q31" s="125"/>
      <c r="R31" s="125"/>
      <c r="S31" s="125"/>
    </row>
    <row r="32" spans="1:19" x14ac:dyDescent="0.3">
      <c r="A32" s="97">
        <v>37012</v>
      </c>
      <c r="B32" s="91">
        <f>-753304755/(10^9)</f>
        <v>-0.75330475500000005</v>
      </c>
      <c r="C32" s="91">
        <f>79591336372/(10^9)</f>
        <v>79.591336372000001</v>
      </c>
      <c r="D32" s="91">
        <f>9114053363/(10^9)</f>
        <v>9.114053363</v>
      </c>
      <c r="E32" s="3">
        <f t="shared" si="3"/>
        <v>78.564744044166659</v>
      </c>
      <c r="F32" s="3">
        <f t="shared" si="3"/>
        <v>9.0798096385833311</v>
      </c>
      <c r="G32" s="98">
        <f t="shared" si="0"/>
        <v>-0.95883307985642452</v>
      </c>
      <c r="H32" s="42">
        <f t="shared" si="1"/>
        <v>-8.2964818094747379</v>
      </c>
      <c r="I32" s="3"/>
      <c r="J32" s="102"/>
      <c r="K32" s="48" t="b">
        <f t="shared" si="2"/>
        <v>1</v>
      </c>
      <c r="L32" s="125"/>
      <c r="M32" s="125"/>
      <c r="N32" s="125"/>
      <c r="O32" s="125"/>
      <c r="P32" s="125"/>
      <c r="Q32" s="125"/>
      <c r="R32" s="125"/>
      <c r="S32" s="125"/>
    </row>
    <row r="33" spans="1:19" x14ac:dyDescent="0.3">
      <c r="A33" s="97">
        <v>37043</v>
      </c>
      <c r="B33" s="91">
        <f>-581244616/(10^9)</f>
        <v>-0.58124461599999999</v>
      </c>
      <c r="C33" s="91">
        <f>80196592971/(10^9)</f>
        <v>80.196592971000001</v>
      </c>
      <c r="D33" s="91">
        <f>9051525736/(10^9)</f>
        <v>9.0515257360000003</v>
      </c>
      <c r="E33" s="3">
        <f t="shared" si="3"/>
        <v>78.780651626166659</v>
      </c>
      <c r="F33" s="3">
        <f t="shared" si="3"/>
        <v>9.0794439325833327</v>
      </c>
      <c r="G33" s="98">
        <f t="shared" si="0"/>
        <v>-0.73780122911161861</v>
      </c>
      <c r="H33" s="42">
        <f t="shared" si="1"/>
        <v>-6.4017644727568808</v>
      </c>
      <c r="I33" s="3"/>
      <c r="J33" s="102"/>
      <c r="K33" s="48" t="b">
        <f t="shared" si="2"/>
        <v>1</v>
      </c>
      <c r="L33" s="125"/>
      <c r="M33" s="125"/>
      <c r="N33" s="125"/>
      <c r="O33" s="125"/>
      <c r="P33" s="125"/>
      <c r="Q33" s="125"/>
      <c r="R33" s="125"/>
      <c r="S33" s="125"/>
    </row>
    <row r="34" spans="1:19" x14ac:dyDescent="0.3">
      <c r="A34" s="97">
        <v>37073</v>
      </c>
      <c r="B34" s="91">
        <f>-393393576/(10^9)</f>
        <v>-0.39339357600000002</v>
      </c>
      <c r="C34" s="91">
        <f>79804800617/(10^9)</f>
        <v>79.804800616999998</v>
      </c>
      <c r="D34" s="91">
        <f>8975890519/(10^9)</f>
        <v>8.975890519</v>
      </c>
      <c r="E34" s="3">
        <f t="shared" si="3"/>
        <v>78.955933789083332</v>
      </c>
      <c r="F34" s="3">
        <f t="shared" si="3"/>
        <v>9.0734390510833336</v>
      </c>
      <c r="G34" s="98">
        <f t="shared" si="0"/>
        <v>-0.49824447273447575</v>
      </c>
      <c r="H34" s="42">
        <f t="shared" si="1"/>
        <v>-4.3356611951124568</v>
      </c>
      <c r="I34" s="3"/>
      <c r="J34" s="102"/>
      <c r="K34" s="48" t="b">
        <f t="shared" si="2"/>
        <v>1</v>
      </c>
      <c r="L34" s="125"/>
      <c r="M34" s="125"/>
      <c r="N34" s="125"/>
      <c r="O34" s="125"/>
      <c r="P34" s="125"/>
      <c r="Q34" s="125"/>
      <c r="R34" s="125"/>
      <c r="S34" s="125"/>
    </row>
    <row r="35" spans="1:19" x14ac:dyDescent="0.3">
      <c r="A35" s="97">
        <v>37104</v>
      </c>
      <c r="B35" s="91">
        <f>-158784967/(10^9)</f>
        <v>-0.158784967</v>
      </c>
      <c r="C35" s="91">
        <f>79999562835/(10^9)</f>
        <v>79.999562835000006</v>
      </c>
      <c r="D35" s="91">
        <f>9020410210/(10^9)</f>
        <v>9.0204102099999997</v>
      </c>
      <c r="E35" s="3">
        <f t="shared" si="3"/>
        <v>79.180984683999995</v>
      </c>
      <c r="F35" s="3">
        <f t="shared" si="3"/>
        <v>9.0902918926666647</v>
      </c>
      <c r="G35" s="98">
        <f t="shared" si="0"/>
        <v>-0.20053421618042278</v>
      </c>
      <c r="H35" s="42">
        <f t="shared" si="1"/>
        <v>-1.746753227232398</v>
      </c>
      <c r="I35" s="3"/>
      <c r="J35" s="102"/>
      <c r="K35" s="48" t="b">
        <f t="shared" si="2"/>
        <v>1</v>
      </c>
      <c r="L35" s="125"/>
      <c r="M35" s="125"/>
      <c r="N35" s="125"/>
      <c r="O35" s="125"/>
      <c r="P35" s="125"/>
      <c r="Q35" s="125"/>
      <c r="R35" s="125"/>
      <c r="S35" s="125"/>
    </row>
    <row r="36" spans="1:19" x14ac:dyDescent="0.3">
      <c r="A36" s="97">
        <v>37135</v>
      </c>
      <c r="B36" s="91">
        <f>-281382160/(10^9)</f>
        <v>-0.28138215999999999</v>
      </c>
      <c r="C36" s="91">
        <f>80910121044/(10^9)</f>
        <v>80.910121043999993</v>
      </c>
      <c r="D36" s="91">
        <f>9135479681/(10^9)</f>
        <v>9.1354796809999996</v>
      </c>
      <c r="E36" s="3">
        <f t="shared" si="3"/>
        <v>79.457808963249988</v>
      </c>
      <c r="F36" s="3">
        <f t="shared" si="3"/>
        <v>9.079562767083333</v>
      </c>
      <c r="G36" s="98">
        <f t="shared" si="0"/>
        <v>-0.35412776122500683</v>
      </c>
      <c r="H36" s="42">
        <f t="shared" si="1"/>
        <v>-3.0990716978146913</v>
      </c>
      <c r="I36" s="3"/>
      <c r="J36" s="102"/>
      <c r="K36" s="48" t="b">
        <f t="shared" si="2"/>
        <v>1</v>
      </c>
      <c r="L36" s="125"/>
      <c r="M36" s="125"/>
      <c r="N36" s="125"/>
      <c r="O36" s="125"/>
      <c r="P36" s="125"/>
      <c r="Q36" s="125"/>
      <c r="R36" s="125"/>
      <c r="S36" s="125"/>
    </row>
    <row r="37" spans="1:19" x14ac:dyDescent="0.3">
      <c r="A37" s="97">
        <v>37165</v>
      </c>
      <c r="B37" s="91">
        <f>-357044144/(10^9)</f>
        <v>-0.35704414400000001</v>
      </c>
      <c r="C37" s="91">
        <f>81622727023/(10^9)</f>
        <v>81.622727022999996</v>
      </c>
      <c r="D37" s="91">
        <f>9195836736/(10^9)</f>
        <v>9.1958367360000004</v>
      </c>
      <c r="E37" s="3">
        <f t="shared" si="3"/>
        <v>79.730978033416662</v>
      </c>
      <c r="F37" s="3">
        <f t="shared" si="3"/>
        <v>9.0487736035000008</v>
      </c>
      <c r="G37" s="98">
        <f t="shared" si="0"/>
        <v>-0.44781106767604995</v>
      </c>
      <c r="H37" s="42">
        <f t="shared" si="1"/>
        <v>-3.9457738655534258</v>
      </c>
      <c r="I37" s="3"/>
      <c r="J37" s="102"/>
      <c r="K37" s="48" t="b">
        <f t="shared" si="2"/>
        <v>1</v>
      </c>
      <c r="L37" s="125"/>
      <c r="M37" s="125"/>
      <c r="N37" s="125"/>
      <c r="O37" s="125"/>
      <c r="P37" s="125"/>
      <c r="Q37" s="125"/>
      <c r="R37" s="125"/>
      <c r="S37" s="125"/>
    </row>
    <row r="38" spans="1:19" x14ac:dyDescent="0.3">
      <c r="A38" s="97">
        <v>37196</v>
      </c>
      <c r="B38" s="91">
        <f>-171299433/(10^9)</f>
        <v>-0.171299433</v>
      </c>
      <c r="C38" s="91">
        <f>83606334324/(10^9)</f>
        <v>83.606334324000002</v>
      </c>
      <c r="D38" s="91">
        <f>9449953439/(10^9)</f>
        <v>9.4499534389999997</v>
      </c>
      <c r="E38" s="3">
        <f t="shared" si="3"/>
        <v>80.128589186333343</v>
      </c>
      <c r="F38" s="3">
        <f t="shared" si="3"/>
        <v>9.0632099374166657</v>
      </c>
      <c r="G38" s="98">
        <f t="shared" si="0"/>
        <v>-0.21378066772354537</v>
      </c>
      <c r="H38" s="42">
        <f t="shared" si="1"/>
        <v>-1.8900525772089352</v>
      </c>
      <c r="I38" s="3"/>
      <c r="J38" s="102"/>
      <c r="K38" s="48" t="b">
        <f t="shared" si="2"/>
        <v>1</v>
      </c>
      <c r="L38" s="125"/>
      <c r="M38" s="125"/>
      <c r="N38" s="125"/>
      <c r="O38" s="125"/>
      <c r="P38" s="125"/>
      <c r="Q38" s="125"/>
      <c r="R38" s="125"/>
      <c r="S38" s="125"/>
    </row>
    <row r="39" spans="1:19" x14ac:dyDescent="0.3">
      <c r="A39" s="97">
        <v>37226</v>
      </c>
      <c r="B39" s="91">
        <f>306799599/(10^9)</f>
        <v>0.30679959899999998</v>
      </c>
      <c r="C39" s="91">
        <f>84000894320/(10^9)</f>
        <v>84.00089432</v>
      </c>
      <c r="D39" s="91">
        <f>9498645145/(10^9)</f>
        <v>9.4986451449999993</v>
      </c>
      <c r="E39" s="3">
        <f t="shared" si="3"/>
        <v>80.486117113250003</v>
      </c>
      <c r="F39" s="3">
        <f t="shared" si="3"/>
        <v>9.1155836716666663</v>
      </c>
      <c r="G39" s="98">
        <f t="shared" si="0"/>
        <v>0.38118325247111862</v>
      </c>
      <c r="H39" s="42">
        <f t="shared" si="1"/>
        <v>3.3656605002003745</v>
      </c>
      <c r="I39" s="3"/>
      <c r="J39" s="102"/>
      <c r="K39" s="48" t="b">
        <f t="shared" si="2"/>
        <v>1</v>
      </c>
      <c r="L39" s="125"/>
      <c r="M39" s="125"/>
      <c r="N39" s="125"/>
      <c r="O39" s="125"/>
      <c r="P39" s="125"/>
      <c r="Q39" s="125"/>
      <c r="R39" s="125"/>
      <c r="S39" s="125"/>
    </row>
    <row r="40" spans="1:19" x14ac:dyDescent="0.3">
      <c r="A40" s="97">
        <v>37257</v>
      </c>
      <c r="B40" s="91">
        <f>339571074/(10^9)</f>
        <v>0.33957107399999997</v>
      </c>
      <c r="C40" s="91">
        <f>82787833939/(10^9)</f>
        <v>82.787833938999995</v>
      </c>
      <c r="D40" s="91">
        <f>9292954967/(10^9)</f>
        <v>9.292954967</v>
      </c>
      <c r="E40" s="3">
        <f t="shared" si="3"/>
        <v>80.772283108250008</v>
      </c>
      <c r="F40" s="3">
        <f t="shared" si="3"/>
        <v>9.1497489246666674</v>
      </c>
      <c r="G40" s="98">
        <f t="shared" si="0"/>
        <v>0.42040544222937343</v>
      </c>
      <c r="H40" s="42">
        <f t="shared" si="1"/>
        <v>3.7112611154231296</v>
      </c>
      <c r="I40" s="3"/>
      <c r="J40" s="102"/>
      <c r="K40" s="48" t="b">
        <f t="shared" si="2"/>
        <v>1</v>
      </c>
      <c r="L40" s="125"/>
      <c r="M40" s="125"/>
      <c r="N40" s="125"/>
      <c r="O40" s="125"/>
      <c r="P40" s="125"/>
      <c r="Q40" s="125"/>
      <c r="R40" s="125"/>
      <c r="S40" s="125"/>
    </row>
    <row r="41" spans="1:19" x14ac:dyDescent="0.3">
      <c r="A41" s="97">
        <v>37288</v>
      </c>
      <c r="B41" s="91">
        <f>414931279/(10^9)</f>
        <v>0.41493127899999999</v>
      </c>
      <c r="C41" s="91">
        <f>83468165814/(10^9)</f>
        <v>83.468165814000002</v>
      </c>
      <c r="D41" s="91">
        <f>9236262169/(10^9)</f>
        <v>9.2362621689999997</v>
      </c>
      <c r="E41" s="3">
        <f t="shared" si="3"/>
        <v>81.174967576666688</v>
      </c>
      <c r="F41" s="3">
        <f t="shared" si="3"/>
        <v>9.1688563099166664</v>
      </c>
      <c r="G41" s="98">
        <f t="shared" si="0"/>
        <v>0.51115669200374247</v>
      </c>
      <c r="H41" s="42">
        <f t="shared" si="1"/>
        <v>4.5254420505120905</v>
      </c>
      <c r="I41" s="3"/>
      <c r="J41" s="102"/>
      <c r="K41" s="48" t="b">
        <f t="shared" si="2"/>
        <v>1</v>
      </c>
      <c r="L41" s="125"/>
      <c r="M41" s="125"/>
      <c r="N41" s="125"/>
      <c r="O41" s="125"/>
      <c r="P41" s="125"/>
      <c r="Q41" s="125"/>
      <c r="R41" s="125"/>
      <c r="S41" s="125"/>
    </row>
    <row r="42" spans="1:19" x14ac:dyDescent="0.3">
      <c r="A42" s="97">
        <v>37316</v>
      </c>
      <c r="B42" s="91">
        <f>340155868/(10^9)</f>
        <v>0.34015586799999997</v>
      </c>
      <c r="C42" s="91">
        <f>83590314088/(10^9)</f>
        <v>83.590314088</v>
      </c>
      <c r="D42" s="91">
        <f>9210819575/(10^9)</f>
        <v>9.2108195750000004</v>
      </c>
      <c r="E42" s="3">
        <f t="shared" si="3"/>
        <v>81.577599769750009</v>
      </c>
      <c r="F42" s="3">
        <f t="shared" si="3"/>
        <v>9.1882753168333338</v>
      </c>
      <c r="G42" s="98">
        <f t="shared" si="0"/>
        <v>0.41697214549101508</v>
      </c>
      <c r="H42" s="42">
        <f t="shared" si="1"/>
        <v>3.7020643839091232</v>
      </c>
      <c r="I42" s="3"/>
      <c r="J42" s="102"/>
      <c r="K42" s="48" t="b">
        <f t="shared" si="2"/>
        <v>1</v>
      </c>
      <c r="L42" s="125"/>
      <c r="M42" s="125"/>
      <c r="N42" s="125"/>
      <c r="O42" s="125"/>
      <c r="P42" s="125"/>
      <c r="Q42" s="125"/>
      <c r="R42" s="125"/>
      <c r="S42" s="125"/>
    </row>
    <row r="43" spans="1:19" x14ac:dyDescent="0.3">
      <c r="A43" s="97">
        <v>37347</v>
      </c>
      <c r="B43" s="91">
        <f>398033299/(10^9)</f>
        <v>0.39803329900000001</v>
      </c>
      <c r="C43" s="91">
        <f>84708061867/(10^9)</f>
        <v>84.708061866999998</v>
      </c>
      <c r="D43" s="91">
        <f>9236135756/(10^9)</f>
        <v>9.2361357559999995</v>
      </c>
      <c r="E43" s="3">
        <f t="shared" si="3"/>
        <v>82.023895434500005</v>
      </c>
      <c r="F43" s="3">
        <f t="shared" si="3"/>
        <v>9.2014972746666661</v>
      </c>
      <c r="G43" s="98">
        <f t="shared" si="0"/>
        <v>0.48526505220402338</v>
      </c>
      <c r="H43" s="42">
        <f t="shared" si="1"/>
        <v>4.3257448991030563</v>
      </c>
      <c r="I43" s="3"/>
      <c r="J43" s="102"/>
      <c r="K43" s="48" t="b">
        <f t="shared" si="2"/>
        <v>1</v>
      </c>
      <c r="L43" s="125"/>
      <c r="M43" s="125"/>
      <c r="N43" s="125"/>
      <c r="O43" s="125"/>
      <c r="P43" s="125"/>
      <c r="Q43" s="125"/>
      <c r="R43" s="125"/>
      <c r="S43" s="125"/>
    </row>
    <row r="44" spans="1:19" x14ac:dyDescent="0.3">
      <c r="A44" s="97">
        <v>37377</v>
      </c>
      <c r="B44" s="91">
        <f>527907651/(10^9)</f>
        <v>0.52790765100000003</v>
      </c>
      <c r="C44" s="91">
        <f>84637599195/(10^9)</f>
        <v>84.637599195000007</v>
      </c>
      <c r="D44" s="91">
        <f>9592754180/(10^9)</f>
        <v>9.59275418</v>
      </c>
      <c r="E44" s="3">
        <f t="shared" si="3"/>
        <v>82.444417336416663</v>
      </c>
      <c r="F44" s="3">
        <f t="shared" si="3"/>
        <v>9.2413890094166664</v>
      </c>
      <c r="G44" s="98">
        <f t="shared" si="0"/>
        <v>0.64031946377382798</v>
      </c>
      <c r="H44" s="42">
        <f t="shared" si="1"/>
        <v>5.7124275415966128</v>
      </c>
      <c r="I44" s="3"/>
      <c r="J44" s="102"/>
      <c r="K44" s="48" t="b">
        <f t="shared" si="2"/>
        <v>1</v>
      </c>
      <c r="L44" s="125"/>
      <c r="M44" s="125"/>
      <c r="N44" s="125"/>
      <c r="O44" s="125"/>
      <c r="P44" s="125"/>
      <c r="Q44" s="125"/>
      <c r="R44" s="125"/>
      <c r="S44" s="125"/>
    </row>
    <row r="45" spans="1:19" x14ac:dyDescent="0.3">
      <c r="A45" s="97">
        <v>37408</v>
      </c>
      <c r="B45" s="91">
        <f>651542886/(10^9)</f>
        <v>0.65154288599999999</v>
      </c>
      <c r="C45" s="91">
        <f>85110179177/(10^9)</f>
        <v>85.110179177000006</v>
      </c>
      <c r="D45" s="91">
        <f>9555180999/(10^9)</f>
        <v>9.5551809989999992</v>
      </c>
      <c r="E45" s="3">
        <f t="shared" si="3"/>
        <v>82.853882853583329</v>
      </c>
      <c r="F45" s="3">
        <f t="shared" si="3"/>
        <v>9.2833602813333318</v>
      </c>
      <c r="G45" s="98">
        <f t="shared" si="0"/>
        <v>0.7863758022679338</v>
      </c>
      <c r="H45" s="42">
        <f t="shared" si="1"/>
        <v>7.0183949157946666</v>
      </c>
      <c r="I45" s="3"/>
      <c r="J45" s="102"/>
      <c r="K45" s="48" t="b">
        <f t="shared" si="2"/>
        <v>1</v>
      </c>
      <c r="L45" s="125"/>
      <c r="M45" s="125"/>
      <c r="N45" s="125"/>
      <c r="O45" s="125"/>
      <c r="P45" s="125"/>
      <c r="Q45" s="125"/>
      <c r="R45" s="125"/>
      <c r="S45" s="125"/>
    </row>
    <row r="46" spans="1:19" x14ac:dyDescent="0.3">
      <c r="A46" s="97">
        <v>37438</v>
      </c>
      <c r="B46" s="91">
        <f>666363009/(10^9)</f>
        <v>0.66636300900000001</v>
      </c>
      <c r="C46" s="91">
        <f>85468788904/(10^9)</f>
        <v>85.468788903999993</v>
      </c>
      <c r="D46" s="91">
        <f>9678849708/(10^9)</f>
        <v>9.6788497079999996</v>
      </c>
      <c r="E46" s="3">
        <f t="shared" si="3"/>
        <v>83.325881877499995</v>
      </c>
      <c r="F46" s="3">
        <f t="shared" si="3"/>
        <v>9.3419402137500001</v>
      </c>
      <c r="G46" s="98">
        <f t="shared" si="0"/>
        <v>0.79970711858728516</v>
      </c>
      <c r="H46" s="42">
        <f t="shared" si="1"/>
        <v>7.1330258356739309</v>
      </c>
      <c r="I46" s="3"/>
      <c r="J46" s="102"/>
      <c r="K46" s="48" t="b">
        <f t="shared" si="2"/>
        <v>1</v>
      </c>
      <c r="L46" s="125"/>
      <c r="M46" s="125"/>
      <c r="N46" s="125"/>
      <c r="O46" s="125"/>
      <c r="P46" s="125"/>
      <c r="Q46" s="125"/>
      <c r="R46" s="125"/>
      <c r="S46" s="125"/>
    </row>
    <row r="47" spans="1:19" x14ac:dyDescent="0.3">
      <c r="A47" s="97">
        <v>37469</v>
      </c>
      <c r="B47" s="91">
        <f>635966136/(10^9)</f>
        <v>0.63596613599999996</v>
      </c>
      <c r="C47" s="91">
        <f>85928932151/(10^9)</f>
        <v>85.928932150999998</v>
      </c>
      <c r="D47" s="91">
        <f>9541893948/(10^9)</f>
        <v>9.5418939480000002</v>
      </c>
      <c r="E47" s="3">
        <f t="shared" si="3"/>
        <v>83.819995987166664</v>
      </c>
      <c r="F47" s="3">
        <f t="shared" si="3"/>
        <v>9.385397191916665</v>
      </c>
      <c r="G47" s="98">
        <f t="shared" si="0"/>
        <v>0.75872842572954802</v>
      </c>
      <c r="H47" s="42">
        <f t="shared" si="1"/>
        <v>6.776123833605431</v>
      </c>
      <c r="I47" s="3"/>
      <c r="J47" s="102"/>
      <c r="K47" s="48" t="b">
        <f t="shared" si="2"/>
        <v>1</v>
      </c>
      <c r="L47" s="125"/>
      <c r="M47" s="125"/>
      <c r="N47" s="125"/>
      <c r="O47" s="125"/>
      <c r="P47" s="125"/>
      <c r="Q47" s="125"/>
      <c r="R47" s="125"/>
      <c r="S47" s="125"/>
    </row>
    <row r="48" spans="1:19" x14ac:dyDescent="0.3">
      <c r="A48" s="97">
        <v>37500</v>
      </c>
      <c r="B48" s="91">
        <f>888861426/(10^9)</f>
        <v>0.88886142599999995</v>
      </c>
      <c r="C48" s="91">
        <f>86546868527/(10^9)</f>
        <v>86.546868527000001</v>
      </c>
      <c r="D48" s="91">
        <f>9329222190/(10^9)</f>
        <v>9.3292221899999994</v>
      </c>
      <c r="E48" s="3">
        <f t="shared" si="3"/>
        <v>84.289724944083332</v>
      </c>
      <c r="F48" s="3">
        <f t="shared" si="3"/>
        <v>9.4015424009999986</v>
      </c>
      <c r="G48" s="98">
        <f t="shared" si="0"/>
        <v>1.0545311739831382</v>
      </c>
      <c r="H48" s="42">
        <f t="shared" si="1"/>
        <v>9.4544212862929378</v>
      </c>
      <c r="I48" s="3"/>
      <c r="J48" s="102"/>
      <c r="K48" s="48" t="b">
        <f t="shared" si="2"/>
        <v>1</v>
      </c>
      <c r="L48" s="146" t="s">
        <v>0</v>
      </c>
      <c r="M48" s="125"/>
      <c r="N48" s="125"/>
      <c r="O48" s="125"/>
      <c r="P48" s="125"/>
      <c r="Q48" s="125"/>
      <c r="R48" s="125"/>
      <c r="S48" s="125"/>
    </row>
    <row r="49" spans="1:19" x14ac:dyDescent="0.3">
      <c r="A49" s="97">
        <v>37530</v>
      </c>
      <c r="B49" s="91">
        <f>946195777/(10^9)</f>
        <v>0.94619577700000002</v>
      </c>
      <c r="C49" s="91">
        <f>86102589712/(10^9)</f>
        <v>86.102589711999997</v>
      </c>
      <c r="D49" s="91">
        <f>9391877726/(10^9)</f>
        <v>9.3918777260000006</v>
      </c>
      <c r="E49" s="3">
        <f t="shared" si="3"/>
        <v>84.663046834833338</v>
      </c>
      <c r="F49" s="3">
        <f t="shared" si="3"/>
        <v>9.4178791501666659</v>
      </c>
      <c r="G49" s="98">
        <f t="shared" si="0"/>
        <v>1.1176018491820945</v>
      </c>
      <c r="H49" s="42">
        <f t="shared" si="1"/>
        <v>10.046803127466925</v>
      </c>
      <c r="I49" s="3"/>
      <c r="J49" s="102"/>
      <c r="K49" s="48" t="b">
        <f t="shared" si="2"/>
        <v>1</v>
      </c>
      <c r="L49" s="127"/>
      <c r="M49" s="127"/>
      <c r="N49" s="127"/>
      <c r="O49" s="125"/>
      <c r="P49" s="125"/>
      <c r="Q49" s="125"/>
      <c r="R49" s="125"/>
      <c r="S49" s="125"/>
    </row>
    <row r="50" spans="1:19" x14ac:dyDescent="0.3">
      <c r="A50" s="97">
        <v>37561</v>
      </c>
      <c r="B50" s="91">
        <f>994734428/(10^9)</f>
        <v>0.994734428</v>
      </c>
      <c r="C50" s="91">
        <f>88113906580/(10^9)</f>
        <v>88.113906580000005</v>
      </c>
      <c r="D50" s="91">
        <f>9649568713/(10^9)</f>
        <v>9.6495687130000007</v>
      </c>
      <c r="E50" s="3">
        <f t="shared" si="3"/>
        <v>85.038677856166672</v>
      </c>
      <c r="F50" s="3">
        <f t="shared" si="3"/>
        <v>9.4345137563333328</v>
      </c>
      <c r="G50" s="98">
        <f t="shared" si="0"/>
        <v>1.1697435250374906</v>
      </c>
      <c r="H50" s="42">
        <f t="shared" si="1"/>
        <v>10.543568579061541</v>
      </c>
      <c r="I50" s="3"/>
      <c r="J50" s="102"/>
      <c r="K50" s="48" t="b">
        <f t="shared" si="2"/>
        <v>1</v>
      </c>
      <c r="L50" s="50"/>
    </row>
    <row r="51" spans="1:19" x14ac:dyDescent="0.3">
      <c r="A51" s="97">
        <v>37591</v>
      </c>
      <c r="B51" s="91">
        <f>925048109/(10^9)</f>
        <v>0.92504810900000001</v>
      </c>
      <c r="C51" s="91">
        <f>88943051496/(10^9)</f>
        <v>88.943051495999995</v>
      </c>
      <c r="D51" s="91">
        <f>9722655710/(10^9)</f>
        <v>9.7226557099999997</v>
      </c>
      <c r="E51" s="3">
        <f t="shared" si="3"/>
        <v>85.450524287500002</v>
      </c>
      <c r="F51" s="3">
        <f t="shared" si="3"/>
        <v>9.453181303416665</v>
      </c>
      <c r="G51" s="98">
        <f t="shared" si="0"/>
        <v>1.0825540471672908</v>
      </c>
      <c r="H51" s="42">
        <f t="shared" si="1"/>
        <v>9.7855746050872821</v>
      </c>
      <c r="I51" s="3"/>
      <c r="J51" s="102"/>
      <c r="K51" s="48" t="b">
        <f t="shared" si="2"/>
        <v>1</v>
      </c>
      <c r="L51" s="50"/>
    </row>
    <row r="52" spans="1:19" x14ac:dyDescent="0.3">
      <c r="A52" s="97">
        <v>37622</v>
      </c>
      <c r="B52" s="91">
        <f>973492843/(10^9)</f>
        <v>0.97349284300000005</v>
      </c>
      <c r="C52" s="91">
        <f>89147164597/(10^9)</f>
        <v>89.147164597</v>
      </c>
      <c r="D52" s="91">
        <f>9994135581/(10^9)</f>
        <v>9.9941355810000001</v>
      </c>
      <c r="E52" s="3">
        <f t="shared" ref="E52:F115" si="4">+AVERAGE(C41:C52)</f>
        <v>85.980468509000005</v>
      </c>
      <c r="F52" s="3">
        <f t="shared" si="4"/>
        <v>9.5116130212499996</v>
      </c>
      <c r="G52" s="98">
        <f t="shared" si="0"/>
        <v>1.1322255622485935</v>
      </c>
      <c r="H52" s="42">
        <f t="shared" si="1"/>
        <v>10.234781848516219</v>
      </c>
      <c r="I52" s="3"/>
      <c r="J52" s="102"/>
      <c r="K52" s="48" t="b">
        <f t="shared" si="2"/>
        <v>1</v>
      </c>
      <c r="L52" s="50"/>
    </row>
    <row r="53" spans="1:19" x14ac:dyDescent="0.3">
      <c r="A53" s="97">
        <v>37653</v>
      </c>
      <c r="B53" s="91">
        <f>1013292157/(10^9)</f>
        <v>1.013292157</v>
      </c>
      <c r="C53" s="91">
        <f>90193608099/(10^9)</f>
        <v>90.193608099000002</v>
      </c>
      <c r="D53" s="91">
        <f>10020626378/(10^9)</f>
        <v>10.020626377999999</v>
      </c>
      <c r="E53" s="3">
        <f t="shared" si="4"/>
        <v>86.540922032750004</v>
      </c>
      <c r="F53" s="3">
        <f t="shared" si="4"/>
        <v>9.576976705333335</v>
      </c>
      <c r="G53" s="98">
        <f t="shared" si="0"/>
        <v>1.1708820904595125</v>
      </c>
      <c r="H53" s="42">
        <f t="shared" si="1"/>
        <v>10.580501427300188</v>
      </c>
      <c r="I53" s="3"/>
      <c r="J53" s="102"/>
      <c r="K53" s="48" t="b">
        <f t="shared" si="2"/>
        <v>1</v>
      </c>
      <c r="L53" s="50"/>
    </row>
    <row r="54" spans="1:19" x14ac:dyDescent="0.3">
      <c r="A54" s="97">
        <v>37681</v>
      </c>
      <c r="B54" s="91">
        <f>1088200932/(10^9)</f>
        <v>1.0882009319999999</v>
      </c>
      <c r="C54" s="91">
        <f>90319486733/(10^9)</f>
        <v>90.319486733000005</v>
      </c>
      <c r="D54" s="91">
        <f>9720407920/(10^9)</f>
        <v>9.7204079199999995</v>
      </c>
      <c r="E54" s="3">
        <f t="shared" si="4"/>
        <v>87.101686419833342</v>
      </c>
      <c r="F54" s="3">
        <f t="shared" si="4"/>
        <v>9.6194424007499997</v>
      </c>
      <c r="G54" s="98">
        <f t="shared" si="0"/>
        <v>1.2493454222629299</v>
      </c>
      <c r="H54" s="42">
        <f t="shared" si="1"/>
        <v>11.312515701691359</v>
      </c>
      <c r="I54" s="3"/>
      <c r="J54" s="102"/>
      <c r="K54" s="48" t="b">
        <f t="shared" si="2"/>
        <v>1</v>
      </c>
      <c r="L54" s="50"/>
    </row>
    <row r="55" spans="1:19" x14ac:dyDescent="0.3">
      <c r="A55" s="97">
        <v>37712</v>
      </c>
      <c r="B55" s="91">
        <f>1120577173/(10^9)</f>
        <v>1.120577173</v>
      </c>
      <c r="C55" s="91">
        <f>90426680515/(10^9)</f>
        <v>90.426680515000001</v>
      </c>
      <c r="D55" s="91">
        <f>9897465580/(10^9)</f>
        <v>9.8974655800000004</v>
      </c>
      <c r="E55" s="3">
        <f t="shared" si="4"/>
        <v>87.578237973833339</v>
      </c>
      <c r="F55" s="3">
        <f t="shared" si="4"/>
        <v>9.6745532194166675</v>
      </c>
      <c r="G55" s="98">
        <f t="shared" si="0"/>
        <v>1.2795155496674946</v>
      </c>
      <c r="H55" s="42">
        <f t="shared" si="1"/>
        <v>11.582727879888244</v>
      </c>
      <c r="I55" s="3"/>
      <c r="J55" s="102"/>
      <c r="K55" s="48" t="b">
        <f t="shared" si="2"/>
        <v>1</v>
      </c>
      <c r="L55" s="50"/>
    </row>
    <row r="56" spans="1:19" x14ac:dyDescent="0.3">
      <c r="A56" s="97">
        <v>37742</v>
      </c>
      <c r="B56" s="91">
        <f>1127714058/(10^9)</f>
        <v>1.127714058</v>
      </c>
      <c r="C56" s="91">
        <f>91916484380/(10^9)</f>
        <v>91.91648438</v>
      </c>
      <c r="D56" s="91">
        <f>10215713675/(10^9)</f>
        <v>10.215713675</v>
      </c>
      <c r="E56" s="3">
        <f t="shared" si="4"/>
        <v>88.184811739249994</v>
      </c>
      <c r="F56" s="3">
        <f t="shared" si="4"/>
        <v>9.7264665106666666</v>
      </c>
      <c r="G56" s="98">
        <f t="shared" si="0"/>
        <v>1.2788075812130675</v>
      </c>
      <c r="H56" s="42">
        <f t="shared" si="1"/>
        <v>11.594283049895628</v>
      </c>
      <c r="I56" s="3"/>
      <c r="J56" s="102"/>
      <c r="K56" s="48" t="b">
        <f t="shared" si="2"/>
        <v>1</v>
      </c>
      <c r="L56" s="50"/>
    </row>
    <row r="57" spans="1:19" x14ac:dyDescent="0.3">
      <c r="A57" s="97">
        <v>37773</v>
      </c>
      <c r="B57" s="91">
        <f>1239137415/(10^9)</f>
        <v>1.2391374150000001</v>
      </c>
      <c r="C57" s="91">
        <f>92178448380/(10^9)</f>
        <v>92.178448380000006</v>
      </c>
      <c r="D57" s="91">
        <f>10359539615/(10^9)</f>
        <v>10.359539614999999</v>
      </c>
      <c r="E57" s="3">
        <f t="shared" si="4"/>
        <v>88.773834172833347</v>
      </c>
      <c r="F57" s="3">
        <f t="shared" si="4"/>
        <v>9.7934963953333334</v>
      </c>
      <c r="G57" s="98">
        <f t="shared" si="0"/>
        <v>1.3958363143215482</v>
      </c>
      <c r="H57" s="42">
        <f t="shared" si="1"/>
        <v>12.65265605846812</v>
      </c>
      <c r="I57" s="3"/>
      <c r="J57" s="102"/>
      <c r="K57" s="48" t="b">
        <f t="shared" si="2"/>
        <v>1</v>
      </c>
      <c r="L57" s="50"/>
    </row>
    <row r="58" spans="1:19" x14ac:dyDescent="0.3">
      <c r="A58" s="97">
        <v>37803</v>
      </c>
      <c r="B58" s="91">
        <f>1350861255/(10^9)</f>
        <v>1.3508612550000001</v>
      </c>
      <c r="C58" s="91">
        <f>91456245462/(10^9)</f>
        <v>91.456245461999998</v>
      </c>
      <c r="D58" s="91">
        <f>10588404825/(10^9)</f>
        <v>10.588404825</v>
      </c>
      <c r="E58" s="3">
        <f t="shared" si="4"/>
        <v>89.272788886000001</v>
      </c>
      <c r="F58" s="3">
        <f t="shared" si="4"/>
        <v>9.8692926550833331</v>
      </c>
      <c r="G58" s="98">
        <f t="shared" si="0"/>
        <v>1.5131836608409639</v>
      </c>
      <c r="H58" s="42">
        <f t="shared" si="1"/>
        <v>13.687518469768122</v>
      </c>
      <c r="I58" s="3"/>
      <c r="J58" s="102"/>
      <c r="K58" s="48" t="b">
        <f t="shared" si="2"/>
        <v>0</v>
      </c>
      <c r="L58" s="50"/>
    </row>
    <row r="59" spans="1:19" x14ac:dyDescent="0.3">
      <c r="A59" s="97">
        <v>37834</v>
      </c>
      <c r="B59" s="91">
        <f>1503854674/(10^9)</f>
        <v>1.5038546740000001</v>
      </c>
      <c r="C59" s="91">
        <f>92020732664/(10^9)</f>
        <v>92.020732663999993</v>
      </c>
      <c r="D59" s="91">
        <f>10643413850/(10^9)</f>
        <v>10.64341385</v>
      </c>
      <c r="E59" s="3">
        <f t="shared" si="4"/>
        <v>89.780438928750002</v>
      </c>
      <c r="F59" s="3">
        <f t="shared" si="4"/>
        <v>9.9610859802500009</v>
      </c>
      <c r="G59" s="98">
        <f t="shared" si="0"/>
        <v>1.6750360010975924</v>
      </c>
      <c r="H59" s="42">
        <f t="shared" si="1"/>
        <v>15.097296388985256</v>
      </c>
      <c r="I59" s="3"/>
      <c r="J59" s="102"/>
      <c r="K59" s="48" t="b">
        <f t="shared" si="2"/>
        <v>0</v>
      </c>
      <c r="L59" s="50"/>
    </row>
    <row r="60" spans="1:19" x14ac:dyDescent="0.3">
      <c r="A60" s="97">
        <v>37865</v>
      </c>
      <c r="B60" s="91">
        <f>1584731311/(10^9)</f>
        <v>1.5847313110000001</v>
      </c>
      <c r="C60" s="91">
        <f>92804998433/(10^9)</f>
        <v>92.804998432999994</v>
      </c>
      <c r="D60" s="91">
        <f>10647163231/(10^9)</f>
        <v>10.647163231</v>
      </c>
      <c r="E60" s="3">
        <f t="shared" si="4"/>
        <v>90.301949754250003</v>
      </c>
      <c r="F60" s="3">
        <f t="shared" si="4"/>
        <v>10.070914400333335</v>
      </c>
      <c r="G60" s="98">
        <f t="shared" si="0"/>
        <v>1.7549247998661466</v>
      </c>
      <c r="H60" s="42">
        <f t="shared" si="1"/>
        <v>15.735724165697878</v>
      </c>
      <c r="I60" s="3"/>
      <c r="J60" s="102"/>
      <c r="K60" s="48" t="b">
        <f t="shared" si="2"/>
        <v>0</v>
      </c>
      <c r="L60" s="50"/>
    </row>
    <row r="61" spans="1:19" x14ac:dyDescent="0.3">
      <c r="A61" s="97">
        <v>37895</v>
      </c>
      <c r="B61" s="91">
        <f>1607640510/(10^9)</f>
        <v>1.60764051</v>
      </c>
      <c r="C61" s="91">
        <f>93727113098/(10^9)</f>
        <v>93.727113098000004</v>
      </c>
      <c r="D61" s="91">
        <f>10847944749/(10^9)</f>
        <v>10.847944749</v>
      </c>
      <c r="E61" s="3">
        <f t="shared" si="4"/>
        <v>90.937326703083329</v>
      </c>
      <c r="F61" s="3">
        <f t="shared" si="4"/>
        <v>10.192253318916668</v>
      </c>
      <c r="G61" s="98">
        <f t="shared" si="0"/>
        <v>1.7678554761666323</v>
      </c>
      <c r="H61" s="42">
        <f t="shared" si="1"/>
        <v>15.773160847721901</v>
      </c>
      <c r="I61" s="3"/>
      <c r="J61" s="102"/>
      <c r="K61" s="48" t="b">
        <f t="shared" si="2"/>
        <v>0</v>
      </c>
      <c r="L61" s="50"/>
    </row>
    <row r="62" spans="1:19" x14ac:dyDescent="0.3">
      <c r="A62" s="97">
        <v>37926</v>
      </c>
      <c r="B62" s="91">
        <f>1587976044/(10^9)</f>
        <v>1.5879760439999999</v>
      </c>
      <c r="C62" s="91">
        <f>95773627362/(10^9)</f>
        <v>95.773627361999999</v>
      </c>
      <c r="D62" s="91">
        <f>10889991525/(10^9)</f>
        <v>10.889991524999999</v>
      </c>
      <c r="E62" s="3">
        <f t="shared" si="4"/>
        <v>91.575636768249993</v>
      </c>
      <c r="F62" s="3">
        <f t="shared" si="4"/>
        <v>10.295621886583334</v>
      </c>
      <c r="G62" s="98">
        <f t="shared" si="0"/>
        <v>1.7340595163085604</v>
      </c>
      <c r="H62" s="42">
        <f t="shared" si="1"/>
        <v>15.423799178846686</v>
      </c>
      <c r="I62" s="3"/>
      <c r="J62" s="102"/>
      <c r="K62" s="48" t="b">
        <f t="shared" si="2"/>
        <v>0</v>
      </c>
      <c r="L62" s="50"/>
    </row>
    <row r="63" spans="1:19" x14ac:dyDescent="0.3">
      <c r="A63" s="97">
        <v>37956</v>
      </c>
      <c r="B63" s="91">
        <f>1747023368/(10^9)</f>
        <v>1.747023368</v>
      </c>
      <c r="C63" s="91">
        <f>97303072273/(10^9)</f>
        <v>97.303072272999998</v>
      </c>
      <c r="D63" s="91">
        <f>11114187840/(10^9)</f>
        <v>11.11418784</v>
      </c>
      <c r="E63" s="3">
        <f t="shared" si="4"/>
        <v>92.272305166333311</v>
      </c>
      <c r="F63" s="3">
        <f t="shared" si="4"/>
        <v>10.411582897416666</v>
      </c>
      <c r="G63" s="98">
        <f t="shared" si="0"/>
        <v>1.8933344786940718</v>
      </c>
      <c r="H63" s="42">
        <f t="shared" si="1"/>
        <v>16.779613486374618</v>
      </c>
      <c r="I63" s="3"/>
      <c r="J63" s="102"/>
      <c r="K63" s="48" t="b">
        <f t="shared" si="2"/>
        <v>0</v>
      </c>
      <c r="L63" s="50"/>
    </row>
    <row r="64" spans="1:19" x14ac:dyDescent="0.3">
      <c r="A64" s="97">
        <v>37987</v>
      </c>
      <c r="B64" s="91">
        <f>1897901394/(10^9)</f>
        <v>1.897901394</v>
      </c>
      <c r="C64" s="91">
        <f>97559106437/(10^9)</f>
        <v>97.559106436999997</v>
      </c>
      <c r="D64" s="91">
        <f>11405550643/(10^9)</f>
        <v>11.405550643</v>
      </c>
      <c r="E64" s="3">
        <f t="shared" si="4"/>
        <v>92.973300319666677</v>
      </c>
      <c r="F64" s="3">
        <f t="shared" si="4"/>
        <v>10.529200819249999</v>
      </c>
      <c r="G64" s="98">
        <f t="shared" si="0"/>
        <v>2.0413402422787139</v>
      </c>
      <c r="H64" s="42">
        <f t="shared" si="1"/>
        <v>18.025122956437151</v>
      </c>
      <c r="I64" s="3"/>
      <c r="J64" s="102"/>
      <c r="K64" s="48" t="b">
        <f t="shared" si="2"/>
        <v>0</v>
      </c>
      <c r="L64" s="50"/>
    </row>
    <row r="65" spans="1:12" x14ac:dyDescent="0.3">
      <c r="A65" s="97">
        <v>38018</v>
      </c>
      <c r="B65" s="91">
        <f>2031694452/(10^9)</f>
        <v>2.031694452</v>
      </c>
      <c r="C65" s="91">
        <f>98453688402/(10^9)</f>
        <v>98.453688401999997</v>
      </c>
      <c r="D65" s="91">
        <f>11577540045/(10^9)</f>
        <v>11.577540044999999</v>
      </c>
      <c r="E65" s="3">
        <f t="shared" si="4"/>
        <v>93.661640344916648</v>
      </c>
      <c r="F65" s="3">
        <f t="shared" si="4"/>
        <v>10.658943624833334</v>
      </c>
      <c r="G65" s="98">
        <f t="shared" si="0"/>
        <v>2.1691852123431952</v>
      </c>
      <c r="H65" s="42">
        <f t="shared" si="1"/>
        <v>19.060936275772526</v>
      </c>
      <c r="I65" s="3"/>
      <c r="J65" s="102"/>
      <c r="K65" s="48" t="b">
        <f t="shared" si="2"/>
        <v>0</v>
      </c>
      <c r="L65" s="50"/>
    </row>
    <row r="66" spans="1:12" x14ac:dyDescent="0.3">
      <c r="A66" s="97">
        <v>38047</v>
      </c>
      <c r="B66" s="91">
        <f>2169775301/(10^9)</f>
        <v>2.169775301</v>
      </c>
      <c r="C66" s="91">
        <f>99976358801/(10^9)</f>
        <v>99.976358801000003</v>
      </c>
      <c r="D66" s="91">
        <f>11634339226/(10^9)</f>
        <v>11.634339226</v>
      </c>
      <c r="E66" s="3">
        <f t="shared" si="4"/>
        <v>94.466379683916671</v>
      </c>
      <c r="F66" s="3">
        <f t="shared" si="4"/>
        <v>10.818437900333334</v>
      </c>
      <c r="G66" s="98">
        <f t="shared" si="0"/>
        <v>2.2968756802791019</v>
      </c>
      <c r="H66" s="42">
        <f t="shared" si="1"/>
        <v>20.056271718610557</v>
      </c>
      <c r="I66" s="3"/>
      <c r="J66" s="102"/>
      <c r="K66" s="48" t="b">
        <f t="shared" si="2"/>
        <v>0</v>
      </c>
      <c r="L66" s="50"/>
    </row>
    <row r="67" spans="1:12" x14ac:dyDescent="0.3">
      <c r="A67" s="97">
        <v>38078</v>
      </c>
      <c r="B67" s="91">
        <f>2198473902/(10^9)</f>
        <v>2.1984739019999999</v>
      </c>
      <c r="C67" s="91">
        <f>100402620323/(10^9)</f>
        <v>100.40262032299999</v>
      </c>
      <c r="D67" s="91">
        <f>11693696619/(10^9)</f>
        <v>11.693696619000001</v>
      </c>
      <c r="E67" s="3">
        <f t="shared" si="4"/>
        <v>95.297708001249987</v>
      </c>
      <c r="F67" s="3">
        <f t="shared" si="4"/>
        <v>10.96812382025</v>
      </c>
      <c r="G67" s="98">
        <f t="shared" ref="G67:G130" si="5">+B67/E67*100</f>
        <v>2.3069535963773267</v>
      </c>
      <c r="H67" s="42">
        <f t="shared" ref="H67:H130" si="6">B67/F67*100</f>
        <v>20.044211188982448</v>
      </c>
      <c r="I67" s="3"/>
      <c r="J67" s="102"/>
      <c r="K67" s="48" t="b">
        <f t="shared" ref="K67:K130" si="7">+G67&lt;$G$231</f>
        <v>0</v>
      </c>
      <c r="L67" s="50"/>
    </row>
    <row r="68" spans="1:12" x14ac:dyDescent="0.3">
      <c r="A68" s="97">
        <v>38108</v>
      </c>
      <c r="B68" s="91">
        <f>2212539654/(10^9)</f>
        <v>2.212539654</v>
      </c>
      <c r="C68" s="91">
        <f>100457833095/(10^9)</f>
        <v>100.457833095</v>
      </c>
      <c r="D68" s="91">
        <f>11671032558/(10^9)</f>
        <v>11.671032558</v>
      </c>
      <c r="E68" s="3">
        <f t="shared" si="4"/>
        <v>96.009487060833337</v>
      </c>
      <c r="F68" s="3">
        <f t="shared" si="4"/>
        <v>11.089400393833332</v>
      </c>
      <c r="G68" s="98">
        <f t="shared" si="5"/>
        <v>2.3045010672727533</v>
      </c>
      <c r="H68" s="42">
        <f t="shared" si="6"/>
        <v>19.951842078227816</v>
      </c>
      <c r="I68" s="3"/>
      <c r="J68" s="102"/>
      <c r="K68" s="48" t="b">
        <f t="shared" si="7"/>
        <v>0</v>
      </c>
      <c r="L68" s="50"/>
    </row>
    <row r="69" spans="1:12" x14ac:dyDescent="0.3">
      <c r="A69" s="97">
        <v>38139</v>
      </c>
      <c r="B69" s="91">
        <f>2184537466/(10^9)</f>
        <v>2.1845374660000001</v>
      </c>
      <c r="C69" s="91">
        <f>102679542444/(10^9)</f>
        <v>102.67954244400001</v>
      </c>
      <c r="D69" s="91">
        <f>11859726901/(10^9)</f>
        <v>11.859726901</v>
      </c>
      <c r="E69" s="3">
        <f t="shared" si="4"/>
        <v>96.884578232833334</v>
      </c>
      <c r="F69" s="3">
        <f t="shared" si="4"/>
        <v>11.214416000999998</v>
      </c>
      <c r="G69" s="98">
        <f t="shared" si="5"/>
        <v>2.2547834813814354</v>
      </c>
      <c r="H69" s="42">
        <f t="shared" si="6"/>
        <v>19.479725612151388</v>
      </c>
      <c r="I69" s="3"/>
      <c r="J69" s="102"/>
      <c r="K69" s="48" t="b">
        <f t="shared" si="7"/>
        <v>0</v>
      </c>
      <c r="L69" s="50"/>
    </row>
    <row r="70" spans="1:12" x14ac:dyDescent="0.3">
      <c r="A70" s="97">
        <v>38169</v>
      </c>
      <c r="B70" s="91">
        <f>2206728266/(10^9)</f>
        <v>2.2067282659999998</v>
      </c>
      <c r="C70" s="91">
        <f>103235322016/(10^9)</f>
        <v>103.235322016</v>
      </c>
      <c r="D70" s="91">
        <f>12086869367/(10^9)</f>
        <v>12.086869367</v>
      </c>
      <c r="E70" s="3">
        <f t="shared" si="4"/>
        <v>97.866167945666646</v>
      </c>
      <c r="F70" s="3">
        <f t="shared" si="4"/>
        <v>11.339288046166667</v>
      </c>
      <c r="G70" s="98">
        <f t="shared" si="5"/>
        <v>2.2548428249741339</v>
      </c>
      <c r="H70" s="42">
        <f t="shared" si="6"/>
        <v>19.460906690222064</v>
      </c>
      <c r="I70" s="3"/>
      <c r="J70" s="102"/>
      <c r="K70" s="48" t="b">
        <f t="shared" si="7"/>
        <v>0</v>
      </c>
      <c r="L70" s="50"/>
    </row>
    <row r="71" spans="1:12" x14ac:dyDescent="0.3">
      <c r="A71" s="97">
        <v>38200</v>
      </c>
      <c r="B71" s="91">
        <f>2326347143/(10^9)</f>
        <v>2.326347143</v>
      </c>
      <c r="C71" s="91">
        <f>105652585481/(10^9)</f>
        <v>105.652585481</v>
      </c>
      <c r="D71" s="91">
        <f>12421091926/(10^9)</f>
        <v>12.421091926000001</v>
      </c>
      <c r="E71" s="3">
        <f t="shared" si="4"/>
        <v>99.002155680416649</v>
      </c>
      <c r="F71" s="3">
        <f t="shared" si="4"/>
        <v>11.487427885833334</v>
      </c>
      <c r="G71" s="98">
        <f t="shared" si="5"/>
        <v>2.3497944332743135</v>
      </c>
      <c r="H71" s="42">
        <f t="shared" si="6"/>
        <v>20.251244805366099</v>
      </c>
      <c r="I71" s="3"/>
      <c r="J71" s="102"/>
      <c r="K71" s="48" t="b">
        <f t="shared" si="7"/>
        <v>0</v>
      </c>
      <c r="L71" s="50"/>
    </row>
    <row r="72" spans="1:12" x14ac:dyDescent="0.3">
      <c r="A72" s="97">
        <v>38231</v>
      </c>
      <c r="B72" s="91">
        <f>2479786834/(10^9)</f>
        <v>2.479786834</v>
      </c>
      <c r="C72" s="91">
        <f>107020319839/(10^9)</f>
        <v>107.020319839</v>
      </c>
      <c r="D72" s="91">
        <f>12593347270/(10^9)</f>
        <v>12.593347270000001</v>
      </c>
      <c r="E72" s="3">
        <f t="shared" si="4"/>
        <v>100.18676579758331</v>
      </c>
      <c r="F72" s="3">
        <f t="shared" si="4"/>
        <v>11.649609889083335</v>
      </c>
      <c r="G72" s="98">
        <f t="shared" si="5"/>
        <v>2.4751640740755572</v>
      </c>
      <c r="H72" s="42">
        <f t="shared" si="6"/>
        <v>21.286436692818093</v>
      </c>
      <c r="I72" s="3"/>
      <c r="J72" s="102"/>
      <c r="K72" s="48" t="b">
        <f t="shared" si="7"/>
        <v>0</v>
      </c>
      <c r="L72" s="50"/>
    </row>
    <row r="73" spans="1:12" x14ac:dyDescent="0.3">
      <c r="A73" s="97">
        <v>38261</v>
      </c>
      <c r="B73" s="91">
        <f>2552824768/(10^9)</f>
        <v>2.5528247679999998</v>
      </c>
      <c r="C73" s="91">
        <f>109405981985/(10^9)</f>
        <v>109.405981985</v>
      </c>
      <c r="D73" s="91">
        <f>12919348339/(10^9)</f>
        <v>12.919348339000001</v>
      </c>
      <c r="E73" s="3">
        <f t="shared" si="4"/>
        <v>101.49333820483332</v>
      </c>
      <c r="F73" s="3">
        <f t="shared" si="4"/>
        <v>11.82222685491667</v>
      </c>
      <c r="G73" s="98">
        <f t="shared" si="5"/>
        <v>2.5152633790090757</v>
      </c>
      <c r="H73" s="42">
        <f t="shared" si="6"/>
        <v>21.593434124792843</v>
      </c>
      <c r="I73" s="3"/>
      <c r="J73" s="102"/>
      <c r="K73" s="48" t="b">
        <f t="shared" si="7"/>
        <v>0</v>
      </c>
      <c r="L73" s="50"/>
    </row>
    <row r="74" spans="1:12" x14ac:dyDescent="0.3">
      <c r="A74" s="97">
        <v>38292</v>
      </c>
      <c r="B74" s="91">
        <f>2707947152/(10^9)</f>
        <v>2.707947152</v>
      </c>
      <c r="C74" s="91">
        <f>111837007570/(10^9)</f>
        <v>111.83700757</v>
      </c>
      <c r="D74" s="91">
        <f>13340333371/(10^9)</f>
        <v>13.340333371</v>
      </c>
      <c r="E74" s="3">
        <f t="shared" si="4"/>
        <v>102.83195322216665</v>
      </c>
      <c r="F74" s="3">
        <f t="shared" si="4"/>
        <v>12.026422008749998</v>
      </c>
      <c r="G74" s="98">
        <f t="shared" si="5"/>
        <v>2.6333713083807009</v>
      </c>
      <c r="H74" s="42">
        <f t="shared" si="6"/>
        <v>22.5166483433709</v>
      </c>
      <c r="I74" s="3"/>
      <c r="J74" s="102"/>
      <c r="K74" s="48" t="b">
        <f t="shared" si="7"/>
        <v>0</v>
      </c>
      <c r="L74" s="50"/>
    </row>
    <row r="75" spans="1:12" x14ac:dyDescent="0.3">
      <c r="A75" s="97">
        <v>38322</v>
      </c>
      <c r="B75" s="91">
        <f>2833095233/(10^9)</f>
        <v>2.8330952329999999</v>
      </c>
      <c r="C75" s="91">
        <f>114882787681/(10^9)</f>
        <v>114.882787681</v>
      </c>
      <c r="D75" s="91">
        <f>13754315084/(10^9)</f>
        <v>13.754315084</v>
      </c>
      <c r="E75" s="3">
        <f t="shared" si="4"/>
        <v>104.29692950616665</v>
      </c>
      <c r="F75" s="3">
        <f t="shared" si="4"/>
        <v>12.246432612416667</v>
      </c>
      <c r="G75" s="98">
        <f t="shared" si="5"/>
        <v>2.7163745341443541</v>
      </c>
      <c r="H75" s="42">
        <f t="shared" si="6"/>
        <v>23.134045012647377</v>
      </c>
      <c r="I75" s="3"/>
      <c r="J75" s="102"/>
      <c r="K75" s="48" t="b">
        <f t="shared" si="7"/>
        <v>0</v>
      </c>
      <c r="L75" s="50"/>
    </row>
    <row r="76" spans="1:12" x14ac:dyDescent="0.3">
      <c r="A76" s="97">
        <v>38353</v>
      </c>
      <c r="B76" s="91">
        <f>2825089436/(10^9)</f>
        <v>2.8250894359999998</v>
      </c>
      <c r="C76" s="91">
        <f>115495209126/(10^9)</f>
        <v>115.49520912600001</v>
      </c>
      <c r="D76" s="91">
        <f>14032835675/(10^9)</f>
        <v>14.032835674999999</v>
      </c>
      <c r="E76" s="3">
        <f t="shared" si="4"/>
        <v>105.79160473025001</v>
      </c>
      <c r="F76" s="3">
        <f t="shared" si="4"/>
        <v>12.46537303175</v>
      </c>
      <c r="G76" s="98">
        <f t="shared" si="5"/>
        <v>2.6704287577482928</v>
      </c>
      <c r="H76" s="42">
        <f t="shared" si="6"/>
        <v>22.663496943126692</v>
      </c>
      <c r="I76" s="3"/>
      <c r="J76" s="102"/>
      <c r="K76" s="48" t="b">
        <f t="shared" si="7"/>
        <v>0</v>
      </c>
      <c r="L76" s="50"/>
    </row>
    <row r="77" spans="1:12" x14ac:dyDescent="0.3">
      <c r="A77" s="97">
        <v>38384</v>
      </c>
      <c r="B77" s="91">
        <f>2896879820/(10^9)</f>
        <v>2.8968798200000001</v>
      </c>
      <c r="C77" s="91">
        <f>114760333576/(10^9)</f>
        <v>114.76033357599999</v>
      </c>
      <c r="D77" s="91">
        <f>14272032606/(10^9)</f>
        <v>14.272032606</v>
      </c>
      <c r="E77" s="3">
        <f t="shared" si="4"/>
        <v>107.15049182808333</v>
      </c>
      <c r="F77" s="3">
        <f t="shared" si="4"/>
        <v>12.689914078500001</v>
      </c>
      <c r="G77" s="98">
        <f t="shared" si="5"/>
        <v>2.7035618507919437</v>
      </c>
      <c r="H77" s="42">
        <f t="shared" si="6"/>
        <v>22.828206732369168</v>
      </c>
      <c r="I77" s="3"/>
      <c r="J77" s="102"/>
      <c r="K77" s="48" t="b">
        <f t="shared" si="7"/>
        <v>0</v>
      </c>
      <c r="L77" s="50"/>
    </row>
    <row r="78" spans="1:12" x14ac:dyDescent="0.3">
      <c r="A78" s="97">
        <v>38412</v>
      </c>
      <c r="B78" s="91">
        <f>2758670947/(10^9)</f>
        <v>2.7586709470000002</v>
      </c>
      <c r="C78" s="91">
        <f>115271077587/(10^9)</f>
        <v>115.27107758699999</v>
      </c>
      <c r="D78" s="91">
        <f>13590004617/(10^9)</f>
        <v>13.590004617</v>
      </c>
      <c r="E78" s="3">
        <f t="shared" si="4"/>
        <v>108.42505172691666</v>
      </c>
      <c r="F78" s="3">
        <f t="shared" si="4"/>
        <v>12.852886194416667</v>
      </c>
      <c r="G78" s="98">
        <f t="shared" si="5"/>
        <v>2.5443113958092365</v>
      </c>
      <c r="H78" s="42">
        <f t="shared" si="6"/>
        <v>21.463435568256841</v>
      </c>
      <c r="I78" s="3"/>
      <c r="J78" s="102"/>
      <c r="K78" s="48" t="b">
        <f t="shared" si="7"/>
        <v>0</v>
      </c>
      <c r="L78" s="50"/>
    </row>
    <row r="79" spans="1:12" x14ac:dyDescent="0.3">
      <c r="A79" s="97">
        <v>38443</v>
      </c>
      <c r="B79" s="91">
        <f>2941908327/(10^9)</f>
        <v>2.9419083270000002</v>
      </c>
      <c r="C79" s="91">
        <f>118133961869/(10^9)</f>
        <v>118.133961869</v>
      </c>
      <c r="D79" s="91">
        <f>14021437024/(10^9)</f>
        <v>14.021437024000001</v>
      </c>
      <c r="E79" s="3">
        <f t="shared" si="4"/>
        <v>109.90266352241666</v>
      </c>
      <c r="F79" s="3">
        <f t="shared" si="4"/>
        <v>13.046864561500001</v>
      </c>
      <c r="G79" s="98">
        <f t="shared" si="5"/>
        <v>2.6768307816306418</v>
      </c>
      <c r="H79" s="42">
        <f t="shared" si="6"/>
        <v>22.548776475240487</v>
      </c>
      <c r="I79" s="3"/>
      <c r="J79" s="102"/>
      <c r="K79" s="48" t="b">
        <f t="shared" si="7"/>
        <v>0</v>
      </c>
      <c r="L79" s="50"/>
    </row>
    <row r="80" spans="1:12" x14ac:dyDescent="0.3">
      <c r="A80" s="97">
        <v>38473</v>
      </c>
      <c r="B80" s="91">
        <f>3064297272/(10^9)</f>
        <v>3.0642972720000001</v>
      </c>
      <c r="C80" s="91">
        <f>119394655677/(10^9)</f>
        <v>119.394655677</v>
      </c>
      <c r="D80" s="91">
        <f>14381232153/(10^9)</f>
        <v>14.381232152999999</v>
      </c>
      <c r="E80" s="3">
        <f t="shared" si="4"/>
        <v>111.48073207091664</v>
      </c>
      <c r="F80" s="3">
        <f t="shared" si="4"/>
        <v>13.272714527750002</v>
      </c>
      <c r="G80" s="98">
        <f t="shared" si="5"/>
        <v>2.7487236718634906</v>
      </c>
      <c r="H80" s="42">
        <f t="shared" si="6"/>
        <v>23.087193396597986</v>
      </c>
      <c r="I80" s="3"/>
      <c r="J80" s="102"/>
      <c r="K80" s="48" t="b">
        <f t="shared" si="7"/>
        <v>0</v>
      </c>
      <c r="L80" s="50"/>
    </row>
    <row r="81" spans="1:12" x14ac:dyDescent="0.3">
      <c r="A81" s="97">
        <v>38504</v>
      </c>
      <c r="B81" s="91">
        <f>3277112413/(10^9)</f>
        <v>3.2771124129999998</v>
      </c>
      <c r="C81" s="91">
        <f>121838313604/(10^9)</f>
        <v>121.83831360400001</v>
      </c>
      <c r="D81" s="91">
        <f>14976482257/(10^9)</f>
        <v>14.976482257000001</v>
      </c>
      <c r="E81" s="3">
        <f t="shared" si="4"/>
        <v>113.07729633424998</v>
      </c>
      <c r="F81" s="3">
        <f t="shared" si="4"/>
        <v>13.532444140750002</v>
      </c>
      <c r="G81" s="98">
        <f t="shared" si="5"/>
        <v>2.8981170573030361</v>
      </c>
      <c r="H81" s="42">
        <f t="shared" si="6"/>
        <v>24.216707483991684</v>
      </c>
      <c r="I81" s="3"/>
      <c r="J81" s="102"/>
      <c r="K81" s="48" t="b">
        <f t="shared" si="7"/>
        <v>0</v>
      </c>
      <c r="L81" s="50"/>
    </row>
    <row r="82" spans="1:12" x14ac:dyDescent="0.3">
      <c r="A82" s="97">
        <v>38534</v>
      </c>
      <c r="B82" s="91">
        <f>3324134460/(10^9)</f>
        <v>3.3241344599999998</v>
      </c>
      <c r="C82" s="91">
        <f>121686199607/(10^9)</f>
        <v>121.68619960700001</v>
      </c>
      <c r="D82" s="91">
        <f>14514248313/(10^9)</f>
        <v>14.514248313</v>
      </c>
      <c r="E82" s="3">
        <f t="shared" si="4"/>
        <v>114.61486946683333</v>
      </c>
      <c r="F82" s="3">
        <f t="shared" si="4"/>
        <v>13.734725719583333</v>
      </c>
      <c r="G82" s="98">
        <f t="shared" si="5"/>
        <v>2.9002645777666056</v>
      </c>
      <c r="H82" s="42">
        <f t="shared" si="6"/>
        <v>24.20240875476939</v>
      </c>
      <c r="I82" s="3"/>
      <c r="J82" s="102"/>
      <c r="K82" s="48" t="b">
        <f t="shared" si="7"/>
        <v>0</v>
      </c>
      <c r="L82" s="50"/>
    </row>
    <row r="83" spans="1:12" x14ac:dyDescent="0.3">
      <c r="A83" s="97">
        <v>38565</v>
      </c>
      <c r="B83" s="91">
        <f>3378530633/(10^9)</f>
        <v>3.378530633</v>
      </c>
      <c r="C83" s="91">
        <f>122427279481/(10^9)</f>
        <v>122.427279481</v>
      </c>
      <c r="D83" s="91">
        <f>14750275690/(10^9)</f>
        <v>14.75027569</v>
      </c>
      <c r="E83" s="3">
        <f t="shared" si="4"/>
        <v>116.01276063349998</v>
      </c>
      <c r="F83" s="3">
        <f t="shared" si="4"/>
        <v>13.928824366583333</v>
      </c>
      <c r="G83" s="98">
        <f t="shared" si="5"/>
        <v>2.9122060491890505</v>
      </c>
      <c r="H83" s="42">
        <f t="shared" si="6"/>
        <v>24.255676890473531</v>
      </c>
      <c r="I83" s="3"/>
      <c r="J83" s="102"/>
      <c r="K83" s="48" t="b">
        <f t="shared" si="7"/>
        <v>0</v>
      </c>
      <c r="L83" s="50"/>
    </row>
    <row r="84" spans="1:12" x14ac:dyDescent="0.3">
      <c r="A84" s="97">
        <v>38596</v>
      </c>
      <c r="B84" s="91">
        <f>3546218561/(10^9)</f>
        <v>3.5462185609999999</v>
      </c>
      <c r="C84" s="91">
        <f>125141288557/(10^9)</f>
        <v>125.141288557</v>
      </c>
      <c r="D84" s="91">
        <f>15669052346/(10^9)</f>
        <v>15.669052346000001</v>
      </c>
      <c r="E84" s="3">
        <f t="shared" si="4"/>
        <v>117.52284135999999</v>
      </c>
      <c r="F84" s="3">
        <f t="shared" si="4"/>
        <v>14.185133122916668</v>
      </c>
      <c r="G84" s="98">
        <f t="shared" si="5"/>
        <v>3.0174717697107933</v>
      </c>
      <c r="H84" s="42">
        <f t="shared" si="6"/>
        <v>24.999543749582003</v>
      </c>
      <c r="I84" s="3"/>
      <c r="J84" s="102"/>
      <c r="K84" s="48" t="b">
        <f t="shared" si="7"/>
        <v>0</v>
      </c>
      <c r="L84" s="50"/>
    </row>
    <row r="85" spans="1:12" x14ac:dyDescent="0.3">
      <c r="A85" s="97">
        <v>38626</v>
      </c>
      <c r="B85" s="91">
        <f>3538586483/(10^9)</f>
        <v>3.538586483</v>
      </c>
      <c r="C85" s="91">
        <f>127268537821/(10^9)</f>
        <v>127.268537821</v>
      </c>
      <c r="D85" s="91">
        <f>15904877252/(10^9)</f>
        <v>15.904877252</v>
      </c>
      <c r="E85" s="3">
        <f t="shared" si="4"/>
        <v>119.01138767966665</v>
      </c>
      <c r="F85" s="3">
        <f t="shared" si="4"/>
        <v>14.433927199000001</v>
      </c>
      <c r="G85" s="98">
        <f t="shared" si="5"/>
        <v>2.9733175555641176</v>
      </c>
      <c r="H85" s="42">
        <f t="shared" si="6"/>
        <v>24.515756759845356</v>
      </c>
      <c r="I85" s="3"/>
      <c r="J85" s="102"/>
      <c r="K85" s="48" t="b">
        <f t="shared" si="7"/>
        <v>0</v>
      </c>
      <c r="L85" s="50"/>
    </row>
    <row r="86" spans="1:12" x14ac:dyDescent="0.3">
      <c r="A86" s="97">
        <v>38657</v>
      </c>
      <c r="B86" s="91">
        <f>3498953155/(10^9)</f>
        <v>3.4989531550000001</v>
      </c>
      <c r="C86" s="91">
        <f>130376425078/(10^9)</f>
        <v>130.37642507800001</v>
      </c>
      <c r="D86" s="91">
        <f>16376687146/(10^9)</f>
        <v>16.376687145999998</v>
      </c>
      <c r="E86" s="3">
        <f t="shared" si="4"/>
        <v>120.55633913866666</v>
      </c>
      <c r="F86" s="3">
        <f t="shared" si="4"/>
        <v>14.686956680249999</v>
      </c>
      <c r="G86" s="98">
        <f t="shared" si="5"/>
        <v>2.9023385912336175</v>
      </c>
      <c r="H86" s="42">
        <f t="shared" si="6"/>
        <v>23.823541058748745</v>
      </c>
      <c r="I86" s="3"/>
      <c r="J86" s="102"/>
      <c r="K86" s="48" t="b">
        <f t="shared" si="7"/>
        <v>0</v>
      </c>
      <c r="L86" s="50"/>
    </row>
    <row r="87" spans="1:12" x14ac:dyDescent="0.3">
      <c r="A87" s="97">
        <v>38687</v>
      </c>
      <c r="B87" s="91">
        <f>3422085151/(10^9)</f>
        <v>3.4220851510000001</v>
      </c>
      <c r="C87" s="91">
        <f>134865454789/(10^9)</f>
        <v>134.86545478900001</v>
      </c>
      <c r="D87" s="91">
        <f>16673180335/(10^9)</f>
        <v>16.673180335000001</v>
      </c>
      <c r="E87" s="3">
        <f t="shared" si="4"/>
        <v>122.22156139766669</v>
      </c>
      <c r="F87" s="3">
        <f t="shared" si="4"/>
        <v>14.930195451166666</v>
      </c>
      <c r="G87" s="98">
        <f t="shared" si="5"/>
        <v>2.799902989183487</v>
      </c>
      <c r="H87" s="42">
        <f t="shared" si="6"/>
        <v>22.920564986525971</v>
      </c>
      <c r="I87" s="3"/>
      <c r="J87" s="102"/>
      <c r="K87" s="48" t="b">
        <f t="shared" si="7"/>
        <v>0</v>
      </c>
      <c r="L87" s="50"/>
    </row>
    <row r="88" spans="1:12" x14ac:dyDescent="0.3">
      <c r="A88" s="97">
        <v>38718</v>
      </c>
      <c r="B88" s="91">
        <f>3457551347/(10^9)</f>
        <v>3.4575513469999999</v>
      </c>
      <c r="C88" s="91">
        <f>135502304297/(10^9)</f>
        <v>135.50230429699999</v>
      </c>
      <c r="D88" s="91">
        <f>17437481406/(10^9)</f>
        <v>17.437481406</v>
      </c>
      <c r="E88" s="3">
        <f t="shared" si="4"/>
        <v>123.88881932858334</v>
      </c>
      <c r="F88" s="3">
        <f t="shared" si="4"/>
        <v>15.21391592875</v>
      </c>
      <c r="G88" s="98">
        <f t="shared" si="5"/>
        <v>2.7908501878847769</v>
      </c>
      <c r="H88" s="42">
        <f t="shared" si="6"/>
        <v>22.726241969473524</v>
      </c>
      <c r="I88" s="3"/>
      <c r="J88" s="102"/>
      <c r="K88" s="48" t="b">
        <f t="shared" si="7"/>
        <v>0</v>
      </c>
      <c r="L88" s="50"/>
    </row>
    <row r="89" spans="1:12" x14ac:dyDescent="0.3">
      <c r="A89" s="97">
        <v>38749</v>
      </c>
      <c r="B89" s="91">
        <f>3461162798/(10^9)</f>
        <v>3.4611627980000002</v>
      </c>
      <c r="C89" s="91">
        <f>136700719272/(10^9)</f>
        <v>136.70071927199999</v>
      </c>
      <c r="D89" s="91">
        <f>17717330200/(10^9)</f>
        <v>17.717330199999999</v>
      </c>
      <c r="E89" s="3">
        <f t="shared" si="4"/>
        <v>125.71718480325001</v>
      </c>
      <c r="F89" s="3">
        <f t="shared" si="4"/>
        <v>15.501024061583331</v>
      </c>
      <c r="G89" s="98">
        <f t="shared" si="5"/>
        <v>2.7531341903788182</v>
      </c>
      <c r="H89" s="42">
        <f t="shared" si="6"/>
        <v>22.328607350387301</v>
      </c>
      <c r="I89" s="3"/>
      <c r="J89" s="102"/>
      <c r="K89" s="48" t="b">
        <f t="shared" si="7"/>
        <v>0</v>
      </c>
      <c r="L89" s="50"/>
    </row>
    <row r="90" spans="1:12" x14ac:dyDescent="0.3">
      <c r="A90" s="97">
        <v>38777</v>
      </c>
      <c r="B90" s="91">
        <f>3706247305/(10^9)</f>
        <v>3.7062473050000002</v>
      </c>
      <c r="C90" s="91">
        <f>138378933393/(10^9)</f>
        <v>138.37893339300001</v>
      </c>
      <c r="D90" s="91">
        <f>16937008233/(10^9)</f>
        <v>16.937008233</v>
      </c>
      <c r="E90" s="3">
        <f t="shared" si="4"/>
        <v>127.64283945375</v>
      </c>
      <c r="F90" s="3">
        <f t="shared" si="4"/>
        <v>15.779941029583332</v>
      </c>
      <c r="G90" s="98">
        <f t="shared" si="5"/>
        <v>2.9036076922614362</v>
      </c>
      <c r="H90" s="42">
        <f t="shared" si="6"/>
        <v>23.487079565454266</v>
      </c>
      <c r="I90" s="3"/>
      <c r="J90" s="102"/>
      <c r="K90" s="48" t="b">
        <f t="shared" si="7"/>
        <v>0</v>
      </c>
      <c r="L90" s="50"/>
    </row>
    <row r="91" spans="1:12" x14ac:dyDescent="0.3">
      <c r="A91" s="97">
        <v>38808</v>
      </c>
      <c r="B91" s="91">
        <f>3622669059/(10^9)</f>
        <v>3.6226690590000001</v>
      </c>
      <c r="C91" s="91">
        <f>139227960198/(10^9)</f>
        <v>139.22796019800001</v>
      </c>
      <c r="D91" s="91">
        <f>16988391980/(10^9)</f>
        <v>16.988391979999999</v>
      </c>
      <c r="E91" s="3">
        <f t="shared" si="4"/>
        <v>129.40067264783332</v>
      </c>
      <c r="F91" s="3">
        <f t="shared" si="4"/>
        <v>16.027187275916663</v>
      </c>
      <c r="G91" s="98">
        <f t="shared" si="5"/>
        <v>2.7995751373404145</v>
      </c>
      <c r="H91" s="42">
        <f t="shared" si="6"/>
        <v>22.603274028273336</v>
      </c>
      <c r="I91" s="3"/>
      <c r="J91" s="102"/>
      <c r="K91" s="48" t="b">
        <f t="shared" si="7"/>
        <v>0</v>
      </c>
      <c r="L91" s="50"/>
    </row>
    <row r="92" spans="1:12" x14ac:dyDescent="0.3">
      <c r="A92" s="97">
        <v>38838</v>
      </c>
      <c r="B92" s="91">
        <f>3428286384/(10^9)</f>
        <v>3.4282863840000002</v>
      </c>
      <c r="C92" s="91">
        <f>139699967711/(10^9)</f>
        <v>139.699967711</v>
      </c>
      <c r="D92" s="91">
        <f>15979633733/(10^9)</f>
        <v>15.979633733</v>
      </c>
      <c r="E92" s="3">
        <f t="shared" si="4"/>
        <v>131.09278198399997</v>
      </c>
      <c r="F92" s="3">
        <f t="shared" si="4"/>
        <v>16.160387407583332</v>
      </c>
      <c r="G92" s="98">
        <f t="shared" si="5"/>
        <v>2.6151602949569157</v>
      </c>
      <c r="H92" s="42">
        <f t="shared" si="6"/>
        <v>21.214134893766605</v>
      </c>
      <c r="I92" s="3"/>
      <c r="J92" s="102"/>
      <c r="K92" s="48" t="b">
        <f t="shared" si="7"/>
        <v>0</v>
      </c>
      <c r="L92" s="50"/>
    </row>
    <row r="93" spans="1:12" x14ac:dyDescent="0.3">
      <c r="A93" s="97">
        <v>38869</v>
      </c>
      <c r="B93" s="91">
        <f>3132534948.96/(10^9)</f>
        <v>3.1325349489600001</v>
      </c>
      <c r="C93" s="91">
        <f>144086229664.69/(10^9)</f>
        <v>144.08622966468999</v>
      </c>
      <c r="D93" s="91">
        <f>15986652417.05/(10^9)</f>
        <v>15.986652417049999</v>
      </c>
      <c r="E93" s="3">
        <f t="shared" si="4"/>
        <v>132.9467749890575</v>
      </c>
      <c r="F93" s="3">
        <f t="shared" si="4"/>
        <v>16.244568254254165</v>
      </c>
      <c r="G93" s="98">
        <f t="shared" si="5"/>
        <v>2.3562323713514908</v>
      </c>
      <c r="H93" s="42">
        <f t="shared" si="6"/>
        <v>19.283583902820219</v>
      </c>
      <c r="I93" s="3"/>
      <c r="J93" s="102"/>
      <c r="K93" s="48" t="b">
        <f t="shared" si="7"/>
        <v>0</v>
      </c>
      <c r="L93" s="50"/>
    </row>
    <row r="94" spans="1:12" x14ac:dyDescent="0.3">
      <c r="A94" s="97">
        <v>38899</v>
      </c>
      <c r="B94" s="91">
        <f>3140239693.37/(10^9)</f>
        <v>3.1402396933699999</v>
      </c>
      <c r="C94" s="91">
        <f>144484892093.57/(10^9)</f>
        <v>144.48489209357001</v>
      </c>
      <c r="D94" s="91">
        <f>16909233142.5/(10^9)</f>
        <v>16.9092331425</v>
      </c>
      <c r="E94" s="3">
        <f t="shared" si="4"/>
        <v>134.84666602960499</v>
      </c>
      <c r="F94" s="3">
        <f t="shared" si="4"/>
        <v>16.444150323379166</v>
      </c>
      <c r="G94" s="98">
        <f t="shared" si="5"/>
        <v>2.3287484858398901</v>
      </c>
      <c r="H94" s="42">
        <f t="shared" si="6"/>
        <v>19.096393742554287</v>
      </c>
      <c r="I94" s="3"/>
      <c r="J94" s="102"/>
      <c r="K94" s="48" t="b">
        <f t="shared" si="7"/>
        <v>0</v>
      </c>
      <c r="L94" s="50"/>
    </row>
    <row r="95" spans="1:12" x14ac:dyDescent="0.3">
      <c r="A95" s="97">
        <v>38930</v>
      </c>
      <c r="B95" s="91">
        <f>3239308425.17/(10^9)</f>
        <v>3.2393084251699999</v>
      </c>
      <c r="C95" s="91">
        <f>146753770629.93/(10^9)</f>
        <v>146.75377062992999</v>
      </c>
      <c r="D95" s="91">
        <f>17690466124.67/(10^9)</f>
        <v>17.690466124669999</v>
      </c>
      <c r="E95" s="3">
        <f t="shared" si="4"/>
        <v>136.87387362534915</v>
      </c>
      <c r="F95" s="3">
        <f t="shared" si="4"/>
        <v>16.689166192935001</v>
      </c>
      <c r="G95" s="98">
        <f t="shared" si="5"/>
        <v>2.3666375031049589</v>
      </c>
      <c r="H95" s="42">
        <f t="shared" si="6"/>
        <v>19.409648077812847</v>
      </c>
      <c r="I95" s="3"/>
      <c r="J95" s="102"/>
      <c r="K95" s="48" t="b">
        <f t="shared" si="7"/>
        <v>0</v>
      </c>
      <c r="L95" s="50"/>
    </row>
    <row r="96" spans="1:12" x14ac:dyDescent="0.3">
      <c r="A96" s="97">
        <v>38961</v>
      </c>
      <c r="B96" s="91">
        <f>3001624060.82/(10^9)</f>
        <v>3.0016240608200002</v>
      </c>
      <c r="C96" s="91">
        <f>146730304800.77/(10^9)</f>
        <v>146.73030480077</v>
      </c>
      <c r="D96" s="91">
        <f>17159347842.02/(10^9)</f>
        <v>17.159347842020001</v>
      </c>
      <c r="E96" s="3">
        <f t="shared" si="4"/>
        <v>138.67295831233</v>
      </c>
      <c r="F96" s="3">
        <f t="shared" si="4"/>
        <v>16.81335748427</v>
      </c>
      <c r="G96" s="98">
        <f t="shared" si="5"/>
        <v>2.1645345259452169</v>
      </c>
      <c r="H96" s="42">
        <f t="shared" si="6"/>
        <v>17.852615479259374</v>
      </c>
      <c r="I96" s="3"/>
      <c r="J96" s="102"/>
      <c r="K96" s="48" t="b">
        <f t="shared" si="7"/>
        <v>0</v>
      </c>
      <c r="L96" s="50"/>
    </row>
    <row r="97" spans="1:12" x14ac:dyDescent="0.3">
      <c r="A97" s="97">
        <v>38991</v>
      </c>
      <c r="B97" s="91">
        <f>3521785762.67/(10^9)</f>
        <v>3.52178576267</v>
      </c>
      <c r="C97" s="91">
        <f>149413725217.9/(10^9)</f>
        <v>149.41372521789998</v>
      </c>
      <c r="D97" s="91">
        <f>17666455634.13/(10^9)</f>
        <v>17.666455634130003</v>
      </c>
      <c r="E97" s="3">
        <f t="shared" si="4"/>
        <v>140.51839059540501</v>
      </c>
      <c r="F97" s="3">
        <f t="shared" si="4"/>
        <v>16.960155682780833</v>
      </c>
      <c r="G97" s="98">
        <f t="shared" si="5"/>
        <v>2.5062810268090012</v>
      </c>
      <c r="H97" s="42">
        <f t="shared" si="6"/>
        <v>20.765055631214338</v>
      </c>
      <c r="I97" s="3"/>
      <c r="J97" s="102"/>
      <c r="K97" s="48" t="b">
        <f t="shared" si="7"/>
        <v>0</v>
      </c>
      <c r="L97" s="50"/>
    </row>
    <row r="98" spans="1:12" x14ac:dyDescent="0.3">
      <c r="A98" s="97">
        <v>39022</v>
      </c>
      <c r="B98" s="91">
        <f>3460787380.84/(10^9)</f>
        <v>3.4607873808400003</v>
      </c>
      <c r="C98" s="91">
        <f>152657160415.95/(10^9)</f>
        <v>152.65716041595002</v>
      </c>
      <c r="D98" s="91">
        <f>17938109617.48/(10^9)</f>
        <v>17.938109617479999</v>
      </c>
      <c r="E98" s="3">
        <f t="shared" si="4"/>
        <v>142.37511854023418</v>
      </c>
      <c r="F98" s="3">
        <f t="shared" si="4"/>
        <v>17.090274222070832</v>
      </c>
      <c r="G98" s="98">
        <f t="shared" si="5"/>
        <v>2.4307529407689357</v>
      </c>
      <c r="H98" s="42">
        <f t="shared" si="6"/>
        <v>20.250040086370575</v>
      </c>
      <c r="I98" s="3"/>
      <c r="J98" s="102"/>
      <c r="K98" s="48" t="b">
        <f t="shared" si="7"/>
        <v>0</v>
      </c>
      <c r="L98" s="50"/>
    </row>
    <row r="99" spans="1:12" x14ac:dyDescent="0.3">
      <c r="A99" s="97">
        <v>39052</v>
      </c>
      <c r="B99" s="91">
        <f>3569080736.74/(10^9)</f>
        <v>3.5690807367399997</v>
      </c>
      <c r="C99" s="91">
        <f>155906574666.34/(10^9)</f>
        <v>155.90657466633999</v>
      </c>
      <c r="D99" s="91">
        <f>18777101040.24/(10^9)</f>
        <v>18.777101040240002</v>
      </c>
      <c r="E99" s="3">
        <f t="shared" si="4"/>
        <v>144.12854519667917</v>
      </c>
      <c r="F99" s="3">
        <f t="shared" si="4"/>
        <v>17.265600947507501</v>
      </c>
      <c r="G99" s="98">
        <f t="shared" si="5"/>
        <v>2.4763177425190812</v>
      </c>
      <c r="H99" s="42">
        <f t="shared" si="6"/>
        <v>20.671627634572662</v>
      </c>
      <c r="I99" s="3"/>
      <c r="J99" s="102"/>
      <c r="K99" s="48" t="b">
        <f t="shared" si="7"/>
        <v>0</v>
      </c>
      <c r="L99" s="50"/>
    </row>
    <row r="100" spans="1:12" x14ac:dyDescent="0.3">
      <c r="A100" s="97">
        <v>39083</v>
      </c>
      <c r="B100" s="91">
        <f>3486582352.66/(10^9)</f>
        <v>3.4865823526599997</v>
      </c>
      <c r="C100" s="91">
        <f>154955205047.57/(10^9)</f>
        <v>154.95520504757002</v>
      </c>
      <c r="D100" s="91">
        <f>18935352148.89/(10^9)</f>
        <v>18.935352148890001</v>
      </c>
      <c r="E100" s="3">
        <f t="shared" si="4"/>
        <v>145.74962025922667</v>
      </c>
      <c r="F100" s="3">
        <f t="shared" si="4"/>
        <v>17.390423509414997</v>
      </c>
      <c r="G100" s="98">
        <f t="shared" si="5"/>
        <v>2.3921725123254869</v>
      </c>
      <c r="H100" s="42">
        <f t="shared" si="6"/>
        <v>20.048863966840138</v>
      </c>
      <c r="I100" s="3"/>
      <c r="J100" s="102"/>
      <c r="K100" s="48" t="b">
        <f t="shared" si="7"/>
        <v>0</v>
      </c>
      <c r="L100" s="50"/>
    </row>
    <row r="101" spans="1:12" x14ac:dyDescent="0.3">
      <c r="A101" s="97">
        <v>39114</v>
      </c>
      <c r="B101" s="91">
        <f>3437283273.06/(10^9)</f>
        <v>3.4372832730599998</v>
      </c>
      <c r="C101" s="91">
        <f>160346087103.13/(10^9)</f>
        <v>160.34608710313</v>
      </c>
      <c r="D101" s="91">
        <f>19150421578.07/(10^9)</f>
        <v>19.150421578069999</v>
      </c>
      <c r="E101" s="3">
        <f t="shared" si="4"/>
        <v>147.72006757848752</v>
      </c>
      <c r="F101" s="3">
        <f t="shared" si="4"/>
        <v>17.509847790920833</v>
      </c>
      <c r="G101" s="98">
        <f t="shared" si="5"/>
        <v>2.3268898595877512</v>
      </c>
      <c r="H101" s="42">
        <f t="shared" si="6"/>
        <v>19.630571973574163</v>
      </c>
      <c r="I101" s="3"/>
      <c r="J101" s="102"/>
      <c r="K101" s="48" t="b">
        <f t="shared" si="7"/>
        <v>0</v>
      </c>
      <c r="L101" s="50"/>
    </row>
    <row r="102" spans="1:12" x14ac:dyDescent="0.3">
      <c r="A102" s="97">
        <v>39142</v>
      </c>
      <c r="B102" s="91">
        <f>3525773730.9/(10^9)</f>
        <v>3.5257737309000001</v>
      </c>
      <c r="C102" s="91">
        <f>162231053349.96/(10^9)</f>
        <v>162.23105334995998</v>
      </c>
      <c r="D102" s="91">
        <f>18698726716.85/(10^9)</f>
        <v>18.698726716849997</v>
      </c>
      <c r="E102" s="3">
        <f t="shared" si="4"/>
        <v>149.7077442415675</v>
      </c>
      <c r="F102" s="3">
        <f t="shared" si="4"/>
        <v>17.656657664574997</v>
      </c>
      <c r="G102" s="98">
        <f t="shared" si="5"/>
        <v>2.3551044394943479</v>
      </c>
      <c r="H102" s="42">
        <f t="shared" si="6"/>
        <v>19.968522910051373</v>
      </c>
      <c r="I102" s="3"/>
      <c r="J102" s="102"/>
      <c r="K102" s="48" t="b">
        <f t="shared" si="7"/>
        <v>0</v>
      </c>
      <c r="L102" s="50"/>
    </row>
    <row r="103" spans="1:12" x14ac:dyDescent="0.3">
      <c r="A103" s="97">
        <v>39173</v>
      </c>
      <c r="B103" s="91">
        <f>3518087939.36/(10^9)</f>
        <v>3.51808793936</v>
      </c>
      <c r="C103" s="91">
        <f>165480012459.79/(10^9)</f>
        <v>165.48001245979</v>
      </c>
      <c r="D103" s="91">
        <f>18960155684.87/(10^9)</f>
        <v>18.960155684869999</v>
      </c>
      <c r="E103" s="3">
        <f t="shared" si="4"/>
        <v>151.89541526338331</v>
      </c>
      <c r="F103" s="3">
        <f t="shared" si="4"/>
        <v>17.820971306647497</v>
      </c>
      <c r="G103" s="98">
        <f t="shared" si="5"/>
        <v>2.3161251662926841</v>
      </c>
      <c r="H103" s="42">
        <f t="shared" si="6"/>
        <v>19.741280533052084</v>
      </c>
      <c r="I103" s="3"/>
      <c r="J103" s="102"/>
      <c r="K103" s="48" t="b">
        <f t="shared" si="7"/>
        <v>0</v>
      </c>
      <c r="L103" s="50"/>
    </row>
    <row r="104" spans="1:12" x14ac:dyDescent="0.3">
      <c r="A104" s="97">
        <v>39203</v>
      </c>
      <c r="B104" s="91">
        <f>3714875669.04/(10^9)</f>
        <v>3.71487566904</v>
      </c>
      <c r="C104" s="91">
        <f>165305184227.97/(10^9)</f>
        <v>165.30518422796999</v>
      </c>
      <c r="D104" s="91">
        <f>19207766226.84/(10^9)</f>
        <v>19.20776622684</v>
      </c>
      <c r="E104" s="3">
        <f t="shared" si="4"/>
        <v>154.02918330646415</v>
      </c>
      <c r="F104" s="3">
        <f t="shared" si="4"/>
        <v>18.089982347800831</v>
      </c>
      <c r="G104" s="98">
        <f t="shared" si="5"/>
        <v>2.4117998870699058</v>
      </c>
      <c r="H104" s="42">
        <f t="shared" si="6"/>
        <v>20.535540597095228</v>
      </c>
      <c r="I104" s="3"/>
      <c r="J104" s="102"/>
      <c r="K104" s="48" t="b">
        <f t="shared" si="7"/>
        <v>0</v>
      </c>
      <c r="L104" s="50"/>
    </row>
    <row r="105" spans="1:12" x14ac:dyDescent="0.3">
      <c r="A105" s="97">
        <v>39234</v>
      </c>
      <c r="B105" s="91">
        <f>3959609004.97/(10^9)</f>
        <v>3.9596090049699999</v>
      </c>
      <c r="C105" s="91">
        <f>168460273884.44/(10^9)</f>
        <v>168.46027388444</v>
      </c>
      <c r="D105" s="91">
        <f>19641416754.83/(10^9)</f>
        <v>19.641416754830001</v>
      </c>
      <c r="E105" s="3">
        <f t="shared" si="4"/>
        <v>156.06035365810999</v>
      </c>
      <c r="F105" s="3">
        <f t="shared" si="4"/>
        <v>18.394546042615833</v>
      </c>
      <c r="G105" s="98">
        <f t="shared" si="5"/>
        <v>2.5372292912039232</v>
      </c>
      <c r="H105" s="42">
        <f t="shared" si="6"/>
        <v>21.525994693190679</v>
      </c>
      <c r="I105" s="3"/>
      <c r="J105" s="102"/>
      <c r="K105" s="48" t="b">
        <f t="shared" si="7"/>
        <v>0</v>
      </c>
      <c r="L105" s="50"/>
    </row>
    <row r="106" spans="1:12" x14ac:dyDescent="0.3">
      <c r="A106" s="97">
        <v>39264</v>
      </c>
      <c r="B106" s="91">
        <f>4070193469.49/(10^9)</f>
        <v>4.0701934694899995</v>
      </c>
      <c r="C106" s="91">
        <f>170284380337.13/(10^9)</f>
        <v>170.28438033713002</v>
      </c>
      <c r="D106" s="91">
        <f>21051274330.07/(10^9)</f>
        <v>21.051274330070001</v>
      </c>
      <c r="E106" s="3">
        <f t="shared" si="4"/>
        <v>158.21031101174</v>
      </c>
      <c r="F106" s="3">
        <f t="shared" si="4"/>
        <v>18.739716141580001</v>
      </c>
      <c r="G106" s="98">
        <f t="shared" si="5"/>
        <v>2.572647410564771</v>
      </c>
      <c r="H106" s="42">
        <f t="shared" si="6"/>
        <v>21.719611112246174</v>
      </c>
      <c r="I106" s="3"/>
      <c r="J106" s="102"/>
      <c r="K106" s="48" t="b">
        <f t="shared" si="7"/>
        <v>0</v>
      </c>
      <c r="L106" s="50"/>
    </row>
    <row r="107" spans="1:12" x14ac:dyDescent="0.3">
      <c r="A107" s="97">
        <v>39295</v>
      </c>
      <c r="B107" s="91">
        <f>4177415970.46/(10^9)</f>
        <v>4.1774159704600002</v>
      </c>
      <c r="C107" s="91">
        <f>172564913050.52/(10^9)</f>
        <v>172.56491305051998</v>
      </c>
      <c r="D107" s="91">
        <f>21373402677.81/(10^9)</f>
        <v>21.373402677810002</v>
      </c>
      <c r="E107" s="3">
        <f t="shared" si="4"/>
        <v>160.36123954678916</v>
      </c>
      <c r="F107" s="3">
        <f t="shared" si="4"/>
        <v>19.046627521008329</v>
      </c>
      <c r="G107" s="98">
        <f t="shared" si="5"/>
        <v>2.6050035421690172</v>
      </c>
      <c r="H107" s="42">
        <f t="shared" si="6"/>
        <v>21.932575548360635</v>
      </c>
      <c r="I107" s="3"/>
      <c r="J107" s="102"/>
      <c r="K107" s="48" t="b">
        <f t="shared" si="7"/>
        <v>0</v>
      </c>
      <c r="L107" s="50"/>
    </row>
    <row r="108" spans="1:12" x14ac:dyDescent="0.3">
      <c r="A108" s="97">
        <v>39326</v>
      </c>
      <c r="B108" s="91">
        <f>4081706825.94/(10^9)</f>
        <v>4.0817068259400004</v>
      </c>
      <c r="C108" s="91">
        <f>175362366145.84/(10^9)</f>
        <v>175.36236614583999</v>
      </c>
      <c r="D108" s="91">
        <f>20536490886.66/(10^9)</f>
        <v>20.536490886660001</v>
      </c>
      <c r="E108" s="3">
        <f t="shared" si="4"/>
        <v>162.74724465887834</v>
      </c>
      <c r="F108" s="3">
        <f t="shared" si="4"/>
        <v>19.328056108061663</v>
      </c>
      <c r="G108" s="98">
        <f t="shared" si="5"/>
        <v>2.5080036436225654</v>
      </c>
      <c r="H108" s="42">
        <f t="shared" si="6"/>
        <v>21.118041064861849</v>
      </c>
      <c r="I108" s="3"/>
      <c r="J108" s="102"/>
      <c r="K108" s="48" t="b">
        <f t="shared" si="7"/>
        <v>0</v>
      </c>
      <c r="L108" s="50"/>
    </row>
    <row r="109" spans="1:12" x14ac:dyDescent="0.3">
      <c r="A109" s="97">
        <v>39356</v>
      </c>
      <c r="B109" s="91">
        <f>3645355310.32/(10^9)</f>
        <v>3.6453553103200003</v>
      </c>
      <c r="C109" s="91">
        <f>178590336608/(10^9)</f>
        <v>178.590336608</v>
      </c>
      <c r="D109" s="91">
        <f>21009804737.47/(10^9)</f>
        <v>21.009804737470002</v>
      </c>
      <c r="E109" s="3">
        <f t="shared" si="4"/>
        <v>165.17862894138668</v>
      </c>
      <c r="F109" s="3">
        <f t="shared" si="4"/>
        <v>19.606668533339999</v>
      </c>
      <c r="G109" s="98">
        <f t="shared" si="5"/>
        <v>2.2069170410740897</v>
      </c>
      <c r="H109" s="42">
        <f t="shared" si="6"/>
        <v>18.592425858178231</v>
      </c>
      <c r="I109" s="3"/>
      <c r="J109" s="102"/>
      <c r="K109" s="48" t="b">
        <f t="shared" si="7"/>
        <v>0</v>
      </c>
      <c r="L109" s="50"/>
    </row>
    <row r="110" spans="1:12" x14ac:dyDescent="0.3">
      <c r="A110" s="97">
        <v>39387</v>
      </c>
      <c r="B110" s="91">
        <f>3769312205.45/(10^9)</f>
        <v>3.7693122054499999</v>
      </c>
      <c r="C110" s="91">
        <f>183726730090.77/(10^9)</f>
        <v>183.72673009076999</v>
      </c>
      <c r="D110" s="91">
        <f>21621456228.83/(10^9)</f>
        <v>21.621456228830002</v>
      </c>
      <c r="E110" s="3">
        <f t="shared" si="4"/>
        <v>167.76775974762165</v>
      </c>
      <c r="F110" s="3">
        <f t="shared" si="4"/>
        <v>19.913614084285832</v>
      </c>
      <c r="G110" s="98">
        <f t="shared" si="5"/>
        <v>2.2467440771220257</v>
      </c>
      <c r="H110" s="42">
        <f t="shared" si="6"/>
        <v>18.928318031554241</v>
      </c>
      <c r="I110" s="3"/>
      <c r="J110" s="102"/>
      <c r="K110" s="48" t="b">
        <f t="shared" si="7"/>
        <v>0</v>
      </c>
      <c r="L110" s="50"/>
    </row>
    <row r="111" spans="1:12" x14ac:dyDescent="0.3">
      <c r="A111" s="97">
        <v>39417</v>
      </c>
      <c r="B111" s="91">
        <f>3820732179.94/(10^9)</f>
        <v>3.8207321799400003</v>
      </c>
      <c r="C111" s="91">
        <f>185445015880.22/(10^9)</f>
        <v>185.44501588022001</v>
      </c>
      <c r="D111" s="91">
        <f>22476578749.98/(10^9)</f>
        <v>22.47657874998</v>
      </c>
      <c r="E111" s="3">
        <f t="shared" si="4"/>
        <v>170.22929651544499</v>
      </c>
      <c r="F111" s="3">
        <f t="shared" si="4"/>
        <v>20.221903893430834</v>
      </c>
      <c r="G111" s="98">
        <f t="shared" si="5"/>
        <v>2.2444621802178122</v>
      </c>
      <c r="H111" s="42">
        <f t="shared" si="6"/>
        <v>18.894027981119919</v>
      </c>
      <c r="I111" s="3"/>
      <c r="J111" s="102"/>
      <c r="K111" s="48" t="b">
        <f t="shared" si="7"/>
        <v>0</v>
      </c>
      <c r="L111" s="50"/>
    </row>
    <row r="112" spans="1:12" x14ac:dyDescent="0.3">
      <c r="A112" s="97">
        <v>39448</v>
      </c>
      <c r="B112" s="91">
        <f>3904255145.7/(10^9)</f>
        <v>3.9042551456999997</v>
      </c>
      <c r="C112" s="91">
        <f>187087862938.2/(10^9)</f>
        <v>187.0878629382</v>
      </c>
      <c r="D112" s="91">
        <f>22484408374.95/(10^9)</f>
        <v>22.48440837495</v>
      </c>
      <c r="E112" s="3">
        <f t="shared" si="4"/>
        <v>172.90701800633084</v>
      </c>
      <c r="F112" s="3">
        <f t="shared" si="4"/>
        <v>20.517658578935833</v>
      </c>
      <c r="G112" s="98">
        <f t="shared" si="5"/>
        <v>2.2580084896016475</v>
      </c>
      <c r="H112" s="42">
        <f t="shared" si="6"/>
        <v>19.028755794329516</v>
      </c>
      <c r="I112" s="3"/>
      <c r="J112" s="102"/>
      <c r="K112" s="48" t="b">
        <f t="shared" si="7"/>
        <v>0</v>
      </c>
      <c r="L112" s="50"/>
    </row>
    <row r="113" spans="1:12" x14ac:dyDescent="0.3">
      <c r="A113" s="97">
        <v>39479</v>
      </c>
      <c r="B113" s="91">
        <f>4007034492.99/(10^9)</f>
        <v>4.0070344929899999</v>
      </c>
      <c r="C113" s="91">
        <f>187299820396.83/(10^9)</f>
        <v>187.29982039683</v>
      </c>
      <c r="D113" s="91">
        <f>22784441780.2/(10^9)</f>
        <v>22.784441780200002</v>
      </c>
      <c r="E113" s="3">
        <f t="shared" si="4"/>
        <v>175.15316244747248</v>
      </c>
      <c r="F113" s="3">
        <f t="shared" si="4"/>
        <v>20.82049359578</v>
      </c>
      <c r="G113" s="98">
        <f t="shared" si="5"/>
        <v>2.2877317411792029</v>
      </c>
      <c r="H113" s="42">
        <f t="shared" si="6"/>
        <v>19.245626788608725</v>
      </c>
      <c r="I113" s="3"/>
      <c r="J113" s="102"/>
      <c r="K113" s="48" t="b">
        <f t="shared" si="7"/>
        <v>0</v>
      </c>
      <c r="L113" s="50"/>
    </row>
    <row r="114" spans="1:12" x14ac:dyDescent="0.3">
      <c r="A114" s="97">
        <v>39508</v>
      </c>
      <c r="B114" s="91">
        <f>4160328295.19/(10^9)</f>
        <v>4.1603282951900002</v>
      </c>
      <c r="C114" s="91">
        <f>188035614295.8/(10^9)</f>
        <v>188.03561429579997</v>
      </c>
      <c r="D114" s="91">
        <f>21900519494.19/(10^9)</f>
        <v>21.90051949419</v>
      </c>
      <c r="E114" s="3">
        <f t="shared" si="4"/>
        <v>177.30354252629249</v>
      </c>
      <c r="F114" s="3">
        <f t="shared" si="4"/>
        <v>21.087309660558336</v>
      </c>
      <c r="G114" s="98">
        <f t="shared" si="5"/>
        <v>2.3464439773238381</v>
      </c>
      <c r="H114" s="42">
        <f t="shared" si="6"/>
        <v>19.72906151689644</v>
      </c>
      <c r="I114" s="3"/>
      <c r="J114" s="102"/>
      <c r="K114" s="48" t="b">
        <f t="shared" si="7"/>
        <v>0</v>
      </c>
      <c r="L114" s="50"/>
    </row>
    <row r="115" spans="1:12" x14ac:dyDescent="0.3">
      <c r="A115" s="97">
        <v>39539</v>
      </c>
      <c r="B115" s="91">
        <f>4316629975.56/(10^9)</f>
        <v>4.3166299755600006</v>
      </c>
      <c r="C115" s="91">
        <f>192401175749.99/(10^9)</f>
        <v>192.40117574998999</v>
      </c>
      <c r="D115" s="91">
        <f>22507267212.34/(10^9)</f>
        <v>22.50726721234</v>
      </c>
      <c r="E115" s="3">
        <f t="shared" si="4"/>
        <v>179.5469728004758</v>
      </c>
      <c r="F115" s="3">
        <f t="shared" si="4"/>
        <v>21.382902287847504</v>
      </c>
      <c r="G115" s="98">
        <f t="shared" si="5"/>
        <v>2.4041786437451766</v>
      </c>
      <c r="H115" s="42">
        <f t="shared" si="6"/>
        <v>20.187296922800144</v>
      </c>
      <c r="I115" s="3"/>
      <c r="J115" s="102"/>
      <c r="K115" s="48" t="b">
        <f t="shared" si="7"/>
        <v>0</v>
      </c>
      <c r="L115" s="50"/>
    </row>
    <row r="116" spans="1:12" x14ac:dyDescent="0.3">
      <c r="A116" s="97">
        <v>39569</v>
      </c>
      <c r="B116" s="91">
        <f>4409352869.72/(10^9)</f>
        <v>4.4093528697200002</v>
      </c>
      <c r="C116" s="91">
        <f>192087872545.44/(10^9)</f>
        <v>192.08787254544001</v>
      </c>
      <c r="D116" s="91">
        <f>23127629340.23/(10^9)</f>
        <v>23.127629340230001</v>
      </c>
      <c r="E116" s="3">
        <f t="shared" ref="E116:F179" si="8">+AVERAGE(C105:C116)</f>
        <v>181.77886349359835</v>
      </c>
      <c r="F116" s="3">
        <f t="shared" si="8"/>
        <v>21.709557547296669</v>
      </c>
      <c r="G116" s="98">
        <f t="shared" si="5"/>
        <v>2.4256686310921309</v>
      </c>
      <c r="H116" s="42">
        <f t="shared" si="6"/>
        <v>20.310652854687334</v>
      </c>
      <c r="I116" s="3"/>
      <c r="J116" s="102"/>
      <c r="K116" s="48" t="b">
        <f t="shared" si="7"/>
        <v>0</v>
      </c>
      <c r="L116" s="50"/>
    </row>
    <row r="117" spans="1:12" x14ac:dyDescent="0.3">
      <c r="A117" s="97">
        <v>39600</v>
      </c>
      <c r="B117" s="91">
        <f>4357371818.1/(10^9)</f>
        <v>4.3573718181000007</v>
      </c>
      <c r="C117" s="91">
        <f>196949310679.39/(10^9)</f>
        <v>196.94931067939001</v>
      </c>
      <c r="D117" s="91">
        <f>23477899134.87/(10^9)</f>
        <v>23.47789913487</v>
      </c>
      <c r="E117" s="3">
        <f t="shared" si="8"/>
        <v>184.15294989317749</v>
      </c>
      <c r="F117" s="3">
        <f t="shared" si="8"/>
        <v>22.029264412300005</v>
      </c>
      <c r="G117" s="98">
        <f t="shared" si="5"/>
        <v>2.3661699802406657</v>
      </c>
      <c r="H117" s="42">
        <f t="shared" si="6"/>
        <v>19.779924270494792</v>
      </c>
      <c r="I117" s="3"/>
      <c r="J117" s="102"/>
      <c r="K117" s="48" t="b">
        <f t="shared" si="7"/>
        <v>0</v>
      </c>
      <c r="L117" s="50"/>
    </row>
    <row r="118" spans="1:12" x14ac:dyDescent="0.3">
      <c r="A118" s="97">
        <v>39630</v>
      </c>
      <c r="B118" s="91">
        <f>4503082636.55/(10^9)</f>
        <v>4.5030826365500003</v>
      </c>
      <c r="C118" s="91">
        <f>197065664926.49/(10^9)</f>
        <v>197.06566492649</v>
      </c>
      <c r="D118" s="91">
        <f>24035591590.91/(10^9)</f>
        <v>24.035591590909998</v>
      </c>
      <c r="E118" s="3">
        <f t="shared" si="8"/>
        <v>186.3847236089575</v>
      </c>
      <c r="F118" s="3">
        <f t="shared" si="8"/>
        <v>22.277957517370002</v>
      </c>
      <c r="G118" s="98">
        <f t="shared" si="5"/>
        <v>2.4160148693289076</v>
      </c>
      <c r="H118" s="42">
        <f t="shared" si="6"/>
        <v>20.213175436028958</v>
      </c>
      <c r="I118" s="3"/>
      <c r="J118" s="102"/>
      <c r="K118" s="48" t="b">
        <f t="shared" si="7"/>
        <v>0</v>
      </c>
      <c r="L118" s="50"/>
    </row>
    <row r="119" spans="1:12" x14ac:dyDescent="0.3">
      <c r="A119" s="97">
        <v>39661</v>
      </c>
      <c r="B119" s="91">
        <f>4475324578.9/(10^9)</f>
        <v>4.4753245788999996</v>
      </c>
      <c r="C119" s="91">
        <f>200132325527.59/(10^9)</f>
        <v>200.13232552758998</v>
      </c>
      <c r="D119" s="91">
        <f>24822257079.82/(10^9)</f>
        <v>24.822257079819998</v>
      </c>
      <c r="E119" s="3">
        <f t="shared" si="8"/>
        <v>188.68200798204668</v>
      </c>
      <c r="F119" s="3">
        <f t="shared" si="8"/>
        <v>22.565362050870835</v>
      </c>
      <c r="G119" s="98">
        <f t="shared" si="5"/>
        <v>2.3718872969201348</v>
      </c>
      <c r="H119" s="42">
        <f t="shared" si="6"/>
        <v>19.832717812419453</v>
      </c>
      <c r="I119" s="3"/>
      <c r="J119" s="102"/>
      <c r="K119" s="48" t="b">
        <f t="shared" si="7"/>
        <v>0</v>
      </c>
      <c r="L119" s="50"/>
    </row>
    <row r="120" spans="1:12" x14ac:dyDescent="0.3">
      <c r="A120" s="97">
        <v>39692</v>
      </c>
      <c r="B120" s="91">
        <f>4804364721.97/(10^9)</f>
        <v>4.8043647219699999</v>
      </c>
      <c r="C120" s="91">
        <f>204980837996.09/(10^9)</f>
        <v>204.98083799609</v>
      </c>
      <c r="D120" s="91">
        <f>24582785720.52/(10^9)</f>
        <v>24.58278572052</v>
      </c>
      <c r="E120" s="3">
        <f t="shared" si="8"/>
        <v>191.15021396956749</v>
      </c>
      <c r="F120" s="3">
        <f t="shared" si="8"/>
        <v>22.902553287025828</v>
      </c>
      <c r="G120" s="98">
        <f t="shared" si="5"/>
        <v>2.5133975119352416</v>
      </c>
      <c r="H120" s="42">
        <f t="shared" si="6"/>
        <v>20.977419686614795</v>
      </c>
      <c r="I120" s="3"/>
      <c r="J120" s="102"/>
      <c r="K120" s="48" t="b">
        <f t="shared" si="7"/>
        <v>0</v>
      </c>
      <c r="L120" s="50"/>
    </row>
    <row r="121" spans="1:12" x14ac:dyDescent="0.3">
      <c r="A121" s="97">
        <v>39722</v>
      </c>
      <c r="B121" s="91">
        <f>4843794957.38/(10^9)</f>
        <v>4.8437949573800001</v>
      </c>
      <c r="C121" s="91">
        <f>208639597041.86/(10^9)</f>
        <v>208.63959704185999</v>
      </c>
      <c r="D121" s="91">
        <f>24802201959.31/(10^9)</f>
        <v>24.80220195931</v>
      </c>
      <c r="E121" s="3">
        <f t="shared" si="8"/>
        <v>193.65431900572244</v>
      </c>
      <c r="F121" s="3">
        <f t="shared" si="8"/>
        <v>23.218586388845832</v>
      </c>
      <c r="G121" s="98">
        <f t="shared" si="5"/>
        <v>2.5012584187378062</v>
      </c>
      <c r="H121" s="42">
        <f t="shared" si="6"/>
        <v>20.861713440517423</v>
      </c>
      <c r="I121" s="3"/>
      <c r="J121" s="102"/>
      <c r="K121" s="48" t="b">
        <f t="shared" si="7"/>
        <v>0</v>
      </c>
      <c r="L121" s="50"/>
    </row>
    <row r="122" spans="1:12" x14ac:dyDescent="0.3">
      <c r="A122" s="97">
        <v>39753</v>
      </c>
      <c r="B122" s="91">
        <f>4917355985.28/(10^9)</f>
        <v>4.9173559852799995</v>
      </c>
      <c r="C122" s="91">
        <f>214556492604.67/(10^9)</f>
        <v>214.55649260467001</v>
      </c>
      <c r="D122" s="91">
        <f>25631964156.86/(10^9)</f>
        <v>25.631964156860001</v>
      </c>
      <c r="E122" s="3">
        <f t="shared" si="8"/>
        <v>196.2234658818808</v>
      </c>
      <c r="F122" s="3">
        <f t="shared" si="8"/>
        <v>23.552795382848334</v>
      </c>
      <c r="G122" s="98">
        <f t="shared" si="5"/>
        <v>2.5059979259769389</v>
      </c>
      <c r="H122" s="42">
        <f t="shared" si="6"/>
        <v>20.87801428810835</v>
      </c>
      <c r="I122" s="3"/>
      <c r="J122" s="102"/>
      <c r="K122" s="48" t="b">
        <f t="shared" si="7"/>
        <v>0</v>
      </c>
      <c r="L122" s="50"/>
    </row>
    <row r="123" spans="1:12" x14ac:dyDescent="0.3">
      <c r="A123" s="97">
        <v>39783</v>
      </c>
      <c r="B123" s="91">
        <f>4862400937.33/(10^9)</f>
        <v>4.8624009373300003</v>
      </c>
      <c r="C123" s="91">
        <f>215989282928.8/(10^9)</f>
        <v>215.98928292879998</v>
      </c>
      <c r="D123" s="91">
        <f>26447441735.13/(10^9)</f>
        <v>26.447441735130003</v>
      </c>
      <c r="E123" s="3">
        <f t="shared" si="8"/>
        <v>198.76882146926252</v>
      </c>
      <c r="F123" s="3">
        <f t="shared" si="8"/>
        <v>23.883700631610832</v>
      </c>
      <c r="G123" s="98">
        <f t="shared" si="5"/>
        <v>2.4462593788039935</v>
      </c>
      <c r="H123" s="42">
        <f t="shared" si="6"/>
        <v>20.358658033481039</v>
      </c>
      <c r="I123" s="3"/>
      <c r="J123" s="102"/>
      <c r="K123" s="48" t="b">
        <f t="shared" si="7"/>
        <v>0</v>
      </c>
      <c r="L123" s="50"/>
    </row>
    <row r="124" spans="1:12" x14ac:dyDescent="0.3">
      <c r="A124" s="97">
        <v>39814</v>
      </c>
      <c r="B124" s="91">
        <f>4958444699.02/(10^9)</f>
        <v>4.9584446990200002</v>
      </c>
      <c r="C124" s="91">
        <f>220094977889.16/(10^9)</f>
        <v>220.09497788915999</v>
      </c>
      <c r="D124" s="91">
        <f>27249691555.22/(10^9)</f>
        <v>27.24969155522</v>
      </c>
      <c r="E124" s="3">
        <f t="shared" si="8"/>
        <v>201.51941438184249</v>
      </c>
      <c r="F124" s="3">
        <f t="shared" si="8"/>
        <v>24.280807563300002</v>
      </c>
      <c r="G124" s="98">
        <f t="shared" si="5"/>
        <v>2.4605295297378409</v>
      </c>
      <c r="H124" s="42">
        <f t="shared" si="6"/>
        <v>20.421251171705666</v>
      </c>
      <c r="I124" s="3"/>
      <c r="J124" s="102"/>
      <c r="K124" s="48" t="b">
        <f t="shared" si="7"/>
        <v>0</v>
      </c>
      <c r="L124" s="50"/>
    </row>
    <row r="125" spans="1:12" x14ac:dyDescent="0.3">
      <c r="A125" s="97">
        <v>39845</v>
      </c>
      <c r="B125" s="91">
        <f>5116120479.51/(10^9)</f>
        <v>5.1161204795100002</v>
      </c>
      <c r="C125" s="91">
        <f>222776833027.7/(10^9)</f>
        <v>222.77683302770001</v>
      </c>
      <c r="D125" s="91">
        <f>27838513226.29/(10^9)</f>
        <v>27.838513226290001</v>
      </c>
      <c r="E125" s="3">
        <f t="shared" si="8"/>
        <v>204.47583210108166</v>
      </c>
      <c r="F125" s="3">
        <f t="shared" si="8"/>
        <v>24.701980183807503</v>
      </c>
      <c r="G125" s="98">
        <f t="shared" si="5"/>
        <v>2.5020661008880842</v>
      </c>
      <c r="H125" s="42">
        <f t="shared" si="6"/>
        <v>20.711377960151104</v>
      </c>
      <c r="I125" s="3"/>
      <c r="J125" s="102"/>
      <c r="K125" s="48" t="b">
        <f t="shared" si="7"/>
        <v>0</v>
      </c>
      <c r="L125" s="50"/>
    </row>
    <row r="126" spans="1:12" x14ac:dyDescent="0.3">
      <c r="A126" s="97">
        <v>39873</v>
      </c>
      <c r="B126" s="91">
        <f>5139407375.81/(10^9)</f>
        <v>5.1394073758100003</v>
      </c>
      <c r="C126" s="91">
        <f>222639244272.89/(10^9)</f>
        <v>222.63924427289001</v>
      </c>
      <c r="D126" s="91">
        <f>27213084334.08/(10^9)</f>
        <v>27.213084334080001</v>
      </c>
      <c r="E126" s="3">
        <f t="shared" si="8"/>
        <v>207.35946793250582</v>
      </c>
      <c r="F126" s="3">
        <f t="shared" si="8"/>
        <v>25.144693920465002</v>
      </c>
      <c r="G126" s="98">
        <f t="shared" si="5"/>
        <v>2.4785014289691585</v>
      </c>
      <c r="H126" s="42">
        <f t="shared" si="6"/>
        <v>20.439331622275546</v>
      </c>
      <c r="I126" s="3"/>
      <c r="J126" s="102"/>
      <c r="K126" s="48" t="b">
        <f t="shared" si="7"/>
        <v>0</v>
      </c>
      <c r="L126" s="50"/>
    </row>
    <row r="127" spans="1:12" x14ac:dyDescent="0.3">
      <c r="A127" s="97">
        <v>39904</v>
      </c>
      <c r="B127" s="91">
        <f>5150856158.57/(10^9)</f>
        <v>5.1508561585699999</v>
      </c>
      <c r="C127" s="91">
        <f>223760921664.44/(10^9)</f>
        <v>223.76092166443999</v>
      </c>
      <c r="D127" s="91">
        <f>27990789773.09/(10^9)</f>
        <v>27.99078977309</v>
      </c>
      <c r="E127" s="3">
        <f t="shared" si="8"/>
        <v>209.97278009204334</v>
      </c>
      <c r="F127" s="3">
        <f t="shared" si="8"/>
        <v>25.601654133860833</v>
      </c>
      <c r="G127" s="98">
        <f t="shared" si="5"/>
        <v>2.4531066152060657</v>
      </c>
      <c r="H127" s="42">
        <f t="shared" si="6"/>
        <v>20.119231873215021</v>
      </c>
      <c r="I127" s="3"/>
      <c r="J127" s="102"/>
      <c r="K127" s="48" t="b">
        <f t="shared" si="7"/>
        <v>0</v>
      </c>
      <c r="L127" s="50"/>
    </row>
    <row r="128" spans="1:12" x14ac:dyDescent="0.3">
      <c r="A128" s="97">
        <v>39934</v>
      </c>
      <c r="B128" s="91">
        <f>5125870163.3234/(10^9)</f>
        <v>5.1258701633233992</v>
      </c>
      <c r="C128" s="91">
        <f>223637774216.118/(10^9)</f>
        <v>223.637774216118</v>
      </c>
      <c r="D128" s="91">
        <f>28527686017.2297/(10^9)</f>
        <v>28.527686017229698</v>
      </c>
      <c r="E128" s="3">
        <f t="shared" si="8"/>
        <v>212.60193856459986</v>
      </c>
      <c r="F128" s="3">
        <f t="shared" si="8"/>
        <v>26.051658856944144</v>
      </c>
      <c r="G128" s="98">
        <f t="shared" si="5"/>
        <v>2.4110176030995527</v>
      </c>
      <c r="H128" s="42">
        <f t="shared" si="6"/>
        <v>19.67579182374056</v>
      </c>
      <c r="I128" s="3"/>
      <c r="J128" s="102"/>
      <c r="K128" s="48" t="b">
        <f t="shared" si="7"/>
        <v>0</v>
      </c>
      <c r="L128" s="50"/>
    </row>
    <row r="129" spans="1:12" x14ac:dyDescent="0.3">
      <c r="A129" s="97">
        <v>39965</v>
      </c>
      <c r="B129" s="91">
        <f>5172566754.35925/(10^9)</f>
        <v>5.1725667543592504</v>
      </c>
      <c r="C129" s="91">
        <f>227575694132.883/(10^9)</f>
        <v>227.575694132883</v>
      </c>
      <c r="D129" s="91">
        <f>29206520024.8699/(10^9)</f>
        <v>29.206520024869899</v>
      </c>
      <c r="E129" s="3">
        <f t="shared" si="8"/>
        <v>215.15413718572424</v>
      </c>
      <c r="F129" s="3">
        <f t="shared" si="8"/>
        <v>26.529043931110802</v>
      </c>
      <c r="G129" s="98">
        <f t="shared" si="5"/>
        <v>2.4041214461491922</v>
      </c>
      <c r="H129" s="42">
        <f t="shared" si="6"/>
        <v>19.497750344079847</v>
      </c>
      <c r="I129" s="3"/>
      <c r="J129" s="102"/>
      <c r="K129" s="48" t="b">
        <f t="shared" si="7"/>
        <v>0</v>
      </c>
      <c r="L129" s="50"/>
    </row>
    <row r="130" spans="1:12" x14ac:dyDescent="0.3">
      <c r="A130" s="97">
        <v>39995</v>
      </c>
      <c r="B130" s="91">
        <f>5071783270.87/(10^9)</f>
        <v>5.0717832708700001</v>
      </c>
      <c r="C130" s="91">
        <f>226648854326.35/(10^9)</f>
        <v>226.64885432635</v>
      </c>
      <c r="D130" s="91">
        <f>29946060616.02/(10^9)</f>
        <v>29.946060616019999</v>
      </c>
      <c r="E130" s="3">
        <f t="shared" si="8"/>
        <v>217.61940296904592</v>
      </c>
      <c r="F130" s="3">
        <f t="shared" si="8"/>
        <v>27.021583016536635</v>
      </c>
      <c r="G130" s="98">
        <f t="shared" si="5"/>
        <v>2.3305749403197322</v>
      </c>
      <c r="H130" s="42">
        <f t="shared" si="6"/>
        <v>18.76937878793473</v>
      </c>
      <c r="I130" s="3"/>
      <c r="J130" s="102"/>
      <c r="K130" s="48" t="b">
        <f t="shared" si="7"/>
        <v>0</v>
      </c>
      <c r="L130" s="50"/>
    </row>
    <row r="131" spans="1:12" x14ac:dyDescent="0.3">
      <c r="A131" s="97">
        <v>40026</v>
      </c>
      <c r="B131" s="91">
        <f>5399379733.15/(10^9)</f>
        <v>5.39937973315</v>
      </c>
      <c r="C131" s="91">
        <f>227177802567.95/(10^9)</f>
        <v>227.17780256795001</v>
      </c>
      <c r="D131" s="91">
        <f>30641738952.34/(10^9)</f>
        <v>30.641738952339999</v>
      </c>
      <c r="E131" s="3">
        <f t="shared" si="8"/>
        <v>219.87319272240924</v>
      </c>
      <c r="F131" s="3">
        <f t="shared" si="8"/>
        <v>27.506539839246638</v>
      </c>
      <c r="G131" s="98">
        <f t="shared" ref="G131:G194" si="9">+B131/E131*100</f>
        <v>2.4556789603572717</v>
      </c>
      <c r="H131" s="42">
        <f t="shared" ref="H131:H194" si="10">B131/F131*100</f>
        <v>19.629439997560524</v>
      </c>
      <c r="I131" s="3"/>
      <c r="J131" s="102"/>
      <c r="K131" s="48" t="b">
        <f t="shared" ref="K131:K194" si="11">+G131&lt;$G$231</f>
        <v>0</v>
      </c>
      <c r="L131" s="50"/>
    </row>
    <row r="132" spans="1:12" x14ac:dyDescent="0.3">
      <c r="A132" s="97">
        <v>40057</v>
      </c>
      <c r="B132" s="91">
        <f>5484850202.79/(10^9)</f>
        <v>5.4848502027899997</v>
      </c>
      <c r="C132" s="91">
        <f>227045102893.65/(10^9)</f>
        <v>227.04510289364998</v>
      </c>
      <c r="D132" s="91">
        <f>31058839092.27/(10^9)</f>
        <v>31.058839092270002</v>
      </c>
      <c r="E132" s="3">
        <f t="shared" si="8"/>
        <v>221.7118814638726</v>
      </c>
      <c r="F132" s="3">
        <f t="shared" si="8"/>
        <v>28.046210953559129</v>
      </c>
      <c r="G132" s="98">
        <f t="shared" si="9"/>
        <v>2.4738639023654412</v>
      </c>
      <c r="H132" s="42">
        <f t="shared" si="10"/>
        <v>19.556474890216709</v>
      </c>
      <c r="I132" s="3"/>
      <c r="J132" s="102"/>
      <c r="K132" s="48" t="b">
        <f t="shared" si="11"/>
        <v>0</v>
      </c>
      <c r="L132" s="50"/>
    </row>
    <row r="133" spans="1:12" x14ac:dyDescent="0.3">
      <c r="A133" s="97">
        <v>40087</v>
      </c>
      <c r="B133" s="91">
        <f>5491445032.67/(10^9)</f>
        <v>5.4914450326699997</v>
      </c>
      <c r="C133" s="91">
        <f>231410652672.32/(10^9)</f>
        <v>231.41065267232</v>
      </c>
      <c r="D133" s="91">
        <f>31682668027.02/(10^9)</f>
        <v>31.68266802702</v>
      </c>
      <c r="E133" s="3">
        <f t="shared" si="8"/>
        <v>223.60946943307758</v>
      </c>
      <c r="F133" s="3">
        <f t="shared" si="8"/>
        <v>28.619583125868299</v>
      </c>
      <c r="G133" s="98">
        <f t="shared" si="9"/>
        <v>2.4558195350995606</v>
      </c>
      <c r="H133" s="42">
        <f t="shared" si="10"/>
        <v>19.187718453195998</v>
      </c>
      <c r="I133" s="3"/>
      <c r="J133" s="102"/>
      <c r="K133" s="48" t="b">
        <f t="shared" si="11"/>
        <v>0</v>
      </c>
      <c r="L133" s="50"/>
    </row>
    <row r="134" spans="1:12" x14ac:dyDescent="0.3">
      <c r="A134" s="97">
        <v>40118</v>
      </c>
      <c r="B134" s="91">
        <f>5509907540.54/(10^9)</f>
        <v>5.5099075405399995</v>
      </c>
      <c r="C134" s="91">
        <f>235497442909.04/(10^9)</f>
        <v>235.49744290904002</v>
      </c>
      <c r="D134" s="91">
        <f>31998688315.02/(10^9)</f>
        <v>31.998688315020001</v>
      </c>
      <c r="E134" s="3">
        <f t="shared" si="8"/>
        <v>225.35454862510838</v>
      </c>
      <c r="F134" s="3">
        <f t="shared" si="8"/>
        <v>29.150143472381629</v>
      </c>
      <c r="G134" s="98">
        <f t="shared" si="9"/>
        <v>2.444995041882239</v>
      </c>
      <c r="H134" s="42">
        <f t="shared" si="10"/>
        <v>18.901819628299169</v>
      </c>
      <c r="I134" s="3"/>
      <c r="J134" s="102"/>
      <c r="K134" s="48" t="b">
        <f t="shared" si="11"/>
        <v>0</v>
      </c>
      <c r="L134" s="50"/>
    </row>
    <row r="135" spans="1:12" x14ac:dyDescent="0.3">
      <c r="A135" s="97">
        <v>40148</v>
      </c>
      <c r="B135" s="91">
        <f>5467681181.73/(10^9)</f>
        <v>5.4676811817299997</v>
      </c>
      <c r="C135" s="91">
        <f>235075841672.37/(10^9)</f>
        <v>235.07584167236999</v>
      </c>
      <c r="D135" s="91">
        <f>32838791134.52/(10^9)</f>
        <v>32.838791134520001</v>
      </c>
      <c r="E135" s="3">
        <f t="shared" si="8"/>
        <v>226.94509518707255</v>
      </c>
      <c r="F135" s="3">
        <f t="shared" si="8"/>
        <v>29.682755922330799</v>
      </c>
      <c r="G135" s="98">
        <f t="shared" si="9"/>
        <v>2.4092528535251878</v>
      </c>
      <c r="H135" s="42">
        <f t="shared" si="10"/>
        <v>18.420395990308226</v>
      </c>
      <c r="I135" s="3"/>
      <c r="J135" s="102"/>
      <c r="K135" s="48" t="b">
        <f t="shared" si="11"/>
        <v>0</v>
      </c>
      <c r="L135" s="50"/>
    </row>
    <row r="136" spans="1:12" x14ac:dyDescent="0.3">
      <c r="A136" s="97">
        <v>40179</v>
      </c>
      <c r="B136" s="91">
        <f>5358807722.05/(10^9)</f>
        <v>5.3588077220499999</v>
      </c>
      <c r="C136" s="91">
        <f>239007780492.8/(10^9)</f>
        <v>239.00778049279998</v>
      </c>
      <c r="D136" s="91">
        <f>32846727940.18/(10^9)</f>
        <v>32.846727940180003</v>
      </c>
      <c r="E136" s="3">
        <f t="shared" si="8"/>
        <v>228.52116207070924</v>
      </c>
      <c r="F136" s="3">
        <f t="shared" si="8"/>
        <v>30.149175621077472</v>
      </c>
      <c r="G136" s="98">
        <f t="shared" si="9"/>
        <v>2.3449940799757845</v>
      </c>
      <c r="H136" s="42">
        <f t="shared" si="10"/>
        <v>17.774309285934919</v>
      </c>
      <c r="I136" s="3"/>
      <c r="J136" s="102"/>
      <c r="K136" s="48" t="b">
        <f t="shared" si="11"/>
        <v>0</v>
      </c>
      <c r="L136" s="50"/>
    </row>
    <row r="137" spans="1:12" x14ac:dyDescent="0.3">
      <c r="A137" s="97">
        <v>40210</v>
      </c>
      <c r="B137" s="91">
        <f>5475815561.45/(10^9)</f>
        <v>5.4758155614500001</v>
      </c>
      <c r="C137" s="91">
        <f>240169943271.85/(10^9)</f>
        <v>240.16994327185</v>
      </c>
      <c r="D137" s="91">
        <f>33450232582.71/(10^9)</f>
        <v>33.450232582710001</v>
      </c>
      <c r="E137" s="3">
        <f t="shared" si="8"/>
        <v>229.97058792438841</v>
      </c>
      <c r="F137" s="3">
        <f t="shared" si="8"/>
        <v>30.616818900779137</v>
      </c>
      <c r="G137" s="98">
        <f t="shared" si="9"/>
        <v>2.3810938654687366</v>
      </c>
      <c r="H137" s="42">
        <f t="shared" si="10"/>
        <v>17.884991837968677</v>
      </c>
      <c r="I137" s="3"/>
      <c r="J137" s="102"/>
      <c r="K137" s="48" t="b">
        <f t="shared" si="11"/>
        <v>0</v>
      </c>
      <c r="L137" s="50"/>
    </row>
    <row r="138" spans="1:12" x14ac:dyDescent="0.3">
      <c r="A138" s="97">
        <v>40238</v>
      </c>
      <c r="B138" s="91">
        <f>5668483595.33/(10^9)</f>
        <v>5.6684835953299997</v>
      </c>
      <c r="C138" s="91">
        <f>239997005905.04/(10^9)</f>
        <v>239.99700590504</v>
      </c>
      <c r="D138" s="91">
        <f>32656999859.07/(10^9)</f>
        <v>32.656999859069998</v>
      </c>
      <c r="E138" s="3">
        <f t="shared" si="8"/>
        <v>231.41706806040096</v>
      </c>
      <c r="F138" s="3">
        <f t="shared" si="8"/>
        <v>31.070478527861638</v>
      </c>
      <c r="G138" s="98">
        <f t="shared" si="9"/>
        <v>2.4494665163809342</v>
      </c>
      <c r="H138" s="42">
        <f t="shared" si="10"/>
        <v>18.243953308433714</v>
      </c>
      <c r="I138" s="3"/>
      <c r="J138" s="102"/>
      <c r="K138" s="48" t="b">
        <f t="shared" si="11"/>
        <v>0</v>
      </c>
      <c r="L138" s="50"/>
    </row>
    <row r="139" spans="1:12" x14ac:dyDescent="0.3">
      <c r="A139" s="97">
        <v>40269</v>
      </c>
      <c r="B139" s="91">
        <f>5761512115.49/(10^9)</f>
        <v>5.7615121154899995</v>
      </c>
      <c r="C139" s="91">
        <f>242697368853.09/(10^9)</f>
        <v>242.69736885308998</v>
      </c>
      <c r="D139" s="91">
        <f>33446147435.33/(10^9)</f>
        <v>33.446147435330005</v>
      </c>
      <c r="E139" s="3">
        <f t="shared" si="8"/>
        <v>232.9951053261218</v>
      </c>
      <c r="F139" s="3">
        <f t="shared" si="8"/>
        <v>31.525091666381627</v>
      </c>
      <c r="G139" s="98">
        <f t="shared" si="9"/>
        <v>2.4728039275441631</v>
      </c>
      <c r="H139" s="42">
        <f t="shared" si="10"/>
        <v>18.275956740941307</v>
      </c>
      <c r="I139" s="3"/>
      <c r="J139" s="102"/>
      <c r="K139" s="48" t="b">
        <f t="shared" si="11"/>
        <v>0</v>
      </c>
      <c r="L139" s="50"/>
    </row>
    <row r="140" spans="1:12" x14ac:dyDescent="0.3">
      <c r="A140" s="97">
        <v>40299</v>
      </c>
      <c r="B140" s="91">
        <f>5800644254.3066/(10^9)</f>
        <v>5.8006442543065999</v>
      </c>
      <c r="C140" s="91">
        <f>239943261854.38/(10^9)</f>
        <v>239.94326185438001</v>
      </c>
      <c r="D140" s="91">
        <f>33926717513.3/(10^9)</f>
        <v>33.926717513299998</v>
      </c>
      <c r="E140" s="3">
        <f t="shared" si="8"/>
        <v>234.35389596264361</v>
      </c>
      <c r="F140" s="3">
        <f t="shared" si="8"/>
        <v>31.975010957720816</v>
      </c>
      <c r="G140" s="98">
        <f t="shared" si="9"/>
        <v>2.4751644219438247</v>
      </c>
      <c r="H140" s="42">
        <f t="shared" si="10"/>
        <v>18.141179879426915</v>
      </c>
      <c r="I140" s="3"/>
      <c r="J140" s="102"/>
      <c r="K140" s="48" t="b">
        <f t="shared" si="11"/>
        <v>0</v>
      </c>
      <c r="L140" s="50"/>
    </row>
    <row r="141" spans="1:12" x14ac:dyDescent="0.3">
      <c r="A141" s="97">
        <v>40330</v>
      </c>
      <c r="B141" s="91">
        <f>5835376077.70075/(10^9)</f>
        <v>5.83537607770075</v>
      </c>
      <c r="C141" s="91">
        <f>247468929347.48/(10^9)</f>
        <v>247.46892934748001</v>
      </c>
      <c r="D141" s="91">
        <f>34448738211.84/(10^9)</f>
        <v>34.448738211839995</v>
      </c>
      <c r="E141" s="3">
        <f t="shared" si="8"/>
        <v>236.01166556386002</v>
      </c>
      <c r="F141" s="3">
        <f t="shared" si="8"/>
        <v>32.41186247330166</v>
      </c>
      <c r="G141" s="98">
        <f t="shared" si="9"/>
        <v>2.4724947657817422</v>
      </c>
      <c r="H141" s="42">
        <f t="shared" si="10"/>
        <v>18.003828328308728</v>
      </c>
      <c r="I141" s="3"/>
      <c r="J141" s="102"/>
      <c r="K141" s="48" t="b">
        <f t="shared" si="11"/>
        <v>0</v>
      </c>
      <c r="L141" s="50"/>
    </row>
    <row r="142" spans="1:12" x14ac:dyDescent="0.3">
      <c r="A142" s="97">
        <v>40360</v>
      </c>
      <c r="B142" s="91">
        <f>5935353269.97/(10^9)</f>
        <v>5.9353532699700002</v>
      </c>
      <c r="C142" s="91">
        <f>250488686033.71/(10^9)</f>
        <v>250.48868603371</v>
      </c>
      <c r="D142" s="91">
        <f>35205314199.48/(10^9)</f>
        <v>35.20531419948</v>
      </c>
      <c r="E142" s="3">
        <f t="shared" si="8"/>
        <v>237.99831820614</v>
      </c>
      <c r="F142" s="3">
        <f t="shared" si="8"/>
        <v>32.850133605256666</v>
      </c>
      <c r="G142" s="98">
        <f t="shared" si="9"/>
        <v>2.4938635342915112</v>
      </c>
      <c r="H142" s="42">
        <f t="shared" si="10"/>
        <v>18.067972999112026</v>
      </c>
      <c r="I142" s="3"/>
      <c r="J142" s="102"/>
      <c r="K142" s="48" t="b">
        <f t="shared" si="11"/>
        <v>0</v>
      </c>
      <c r="L142" s="50"/>
    </row>
    <row r="143" spans="1:12" x14ac:dyDescent="0.3">
      <c r="A143" s="97">
        <v>40391</v>
      </c>
      <c r="B143" s="91">
        <f>5727837630.37/(10^9)</f>
        <v>5.7278376303699998</v>
      </c>
      <c r="C143" s="91">
        <f>253698445377.2/(10^9)</f>
        <v>253.69844537720002</v>
      </c>
      <c r="D143" s="91">
        <f>35795654570.59/(10^9)</f>
        <v>35.795654570589996</v>
      </c>
      <c r="E143" s="3">
        <f t="shared" si="8"/>
        <v>240.20837177357751</v>
      </c>
      <c r="F143" s="3">
        <f t="shared" si="8"/>
        <v>33.279626573444162</v>
      </c>
      <c r="G143" s="98">
        <f t="shared" si="9"/>
        <v>2.3845287273205904</v>
      </c>
      <c r="H143" s="42">
        <f t="shared" si="10"/>
        <v>17.211243695085781</v>
      </c>
      <c r="I143" s="3"/>
      <c r="J143" s="102"/>
      <c r="K143" s="48" t="b">
        <f t="shared" si="11"/>
        <v>0</v>
      </c>
      <c r="L143" s="50"/>
    </row>
    <row r="144" spans="1:12" x14ac:dyDescent="0.3">
      <c r="A144" s="97">
        <v>40422</v>
      </c>
      <c r="B144" s="91">
        <f>5647995886.94/(10^9)</f>
        <v>5.6479958869399995</v>
      </c>
      <c r="C144" s="91">
        <f>257318237375.57/(10^9)</f>
        <v>257.31823737556999</v>
      </c>
      <c r="D144" s="91">
        <f>36722036046.74/(10^9)</f>
        <v>36.722036046740001</v>
      </c>
      <c r="E144" s="3">
        <f t="shared" si="8"/>
        <v>242.73113298040417</v>
      </c>
      <c r="F144" s="3">
        <f t="shared" si="8"/>
        <v>33.751559652983332</v>
      </c>
      <c r="G144" s="98">
        <f t="shared" si="9"/>
        <v>2.3268526857640324</v>
      </c>
      <c r="H144" s="42">
        <f t="shared" si="10"/>
        <v>16.734029316007529</v>
      </c>
      <c r="I144" s="3"/>
      <c r="J144" s="102"/>
      <c r="K144" s="48" t="b">
        <f t="shared" si="11"/>
        <v>0</v>
      </c>
      <c r="L144" s="50"/>
    </row>
    <row r="145" spans="1:12" x14ac:dyDescent="0.3">
      <c r="A145" s="97">
        <v>40452</v>
      </c>
      <c r="B145" s="91">
        <f>5778771003.76999/(10^9)</f>
        <v>5.7787710037699895</v>
      </c>
      <c r="C145" s="91">
        <f>262226106826.69/(10^9)</f>
        <v>262.22610682669</v>
      </c>
      <c r="D145" s="91">
        <f>37403247404.64/(10^9)</f>
        <v>37.403247404639998</v>
      </c>
      <c r="E145" s="3">
        <f t="shared" si="8"/>
        <v>245.2990874932683</v>
      </c>
      <c r="F145" s="3">
        <f t="shared" si="8"/>
        <v>34.228274601118336</v>
      </c>
      <c r="G145" s="98">
        <f t="shared" si="9"/>
        <v>2.3558061559966363</v>
      </c>
      <c r="H145" s="42">
        <f t="shared" si="10"/>
        <v>16.883033314162965</v>
      </c>
      <c r="I145" s="3"/>
      <c r="J145" s="102"/>
      <c r="K145" s="48" t="b">
        <f t="shared" si="11"/>
        <v>0</v>
      </c>
      <c r="L145" s="50"/>
    </row>
    <row r="146" spans="1:12" x14ac:dyDescent="0.3">
      <c r="A146" s="97">
        <v>40483</v>
      </c>
      <c r="B146" s="91">
        <f>5712735174.75/(10^9)</f>
        <v>5.7127351747499997</v>
      </c>
      <c r="C146" s="91">
        <f>266422786264.42/(10^9)</f>
        <v>266.42278626442004</v>
      </c>
      <c r="D146" s="91">
        <f>37705783784.1/(10^9)</f>
        <v>37.705783784099999</v>
      </c>
      <c r="E146" s="3">
        <f t="shared" si="8"/>
        <v>247.87619943954999</v>
      </c>
      <c r="F146" s="3">
        <f t="shared" si="8"/>
        <v>34.703865890208334</v>
      </c>
      <c r="G146" s="98">
        <f t="shared" si="9"/>
        <v>2.3046727308497301</v>
      </c>
      <c r="H146" s="42">
        <f t="shared" si="10"/>
        <v>16.461379815214887</v>
      </c>
      <c r="I146" s="3"/>
      <c r="J146" s="102"/>
      <c r="K146" s="48" t="b">
        <f t="shared" si="11"/>
        <v>0</v>
      </c>
      <c r="L146" s="50"/>
    </row>
    <row r="147" spans="1:12" x14ac:dyDescent="0.3">
      <c r="A147" s="97">
        <v>40513</v>
      </c>
      <c r="B147" s="91">
        <f>5914501320.56/(10^9)</f>
        <v>5.9145013205600003</v>
      </c>
      <c r="C147" s="91">
        <f>270532601117.21/(10^9)</f>
        <v>270.53260111720999</v>
      </c>
      <c r="D147" s="91">
        <f>37841516037.09/(10^9)</f>
        <v>37.841516037089995</v>
      </c>
      <c r="E147" s="3">
        <f t="shared" si="8"/>
        <v>250.83092939328665</v>
      </c>
      <c r="F147" s="3">
        <f t="shared" si="8"/>
        <v>35.120759632089168</v>
      </c>
      <c r="G147" s="98">
        <f t="shared" si="9"/>
        <v>2.3579633240868971</v>
      </c>
      <c r="H147" s="42">
        <f t="shared" si="10"/>
        <v>16.840470942308531</v>
      </c>
      <c r="I147" s="3"/>
      <c r="J147" s="102"/>
      <c r="K147" s="48" t="b">
        <f t="shared" si="11"/>
        <v>0</v>
      </c>
      <c r="L147" s="50"/>
    </row>
    <row r="148" spans="1:12" x14ac:dyDescent="0.3">
      <c r="A148" s="97">
        <v>40544</v>
      </c>
      <c r="B148" s="91">
        <f>6069997853.99/(10^9)</f>
        <v>6.0699978539899995</v>
      </c>
      <c r="C148" s="91">
        <f>275557152556.34/(10^9)</f>
        <v>275.55715255634004</v>
      </c>
      <c r="D148" s="91">
        <f>38152943586.1/(10^9)</f>
        <v>38.152943586100001</v>
      </c>
      <c r="E148" s="3">
        <f t="shared" si="8"/>
        <v>253.87671039858171</v>
      </c>
      <c r="F148" s="3">
        <f t="shared" si="8"/>
        <v>35.562944269249165</v>
      </c>
      <c r="G148" s="98">
        <f t="shared" si="9"/>
        <v>2.3909234700812911</v>
      </c>
      <c r="H148" s="42">
        <f t="shared" si="10"/>
        <v>17.068322037775289</v>
      </c>
      <c r="I148" s="3"/>
      <c r="J148" s="102"/>
      <c r="K148" s="48" t="b">
        <f t="shared" si="11"/>
        <v>0</v>
      </c>
      <c r="L148" s="50"/>
    </row>
    <row r="149" spans="1:12" x14ac:dyDescent="0.3">
      <c r="A149" s="97">
        <v>40575</v>
      </c>
      <c r="B149" s="91">
        <f>5999963662.72/(10^9)</f>
        <v>5.9999636627199999</v>
      </c>
      <c r="C149" s="91">
        <f>280509265931.24/(10^9)</f>
        <v>280.50926593124001</v>
      </c>
      <c r="D149" s="91">
        <f>38521520284.48/(10^9)</f>
        <v>38.521520284480005</v>
      </c>
      <c r="E149" s="3">
        <f t="shared" si="8"/>
        <v>257.2383206201975</v>
      </c>
      <c r="F149" s="3">
        <f t="shared" si="8"/>
        <v>35.98555157773</v>
      </c>
      <c r="G149" s="98">
        <f t="shared" si="9"/>
        <v>2.3324532862188585</v>
      </c>
      <c r="H149" s="42">
        <f t="shared" si="10"/>
        <v>16.673257459344139</v>
      </c>
      <c r="I149" s="3"/>
      <c r="J149" s="102"/>
      <c r="K149" s="48" t="b">
        <f t="shared" si="11"/>
        <v>0</v>
      </c>
      <c r="L149" s="50"/>
    </row>
    <row r="150" spans="1:12" x14ac:dyDescent="0.3">
      <c r="A150" s="97">
        <v>40603</v>
      </c>
      <c r="B150" s="91">
        <f>6242540432.97/(10^9)</f>
        <v>6.2425404329700003</v>
      </c>
      <c r="C150" s="91">
        <f>286463184749.54/(10^9)</f>
        <v>286.46318474954001</v>
      </c>
      <c r="D150" s="91">
        <f>40447327361.47/(10^9)</f>
        <v>40.447327361470002</v>
      </c>
      <c r="E150" s="3">
        <f t="shared" si="8"/>
        <v>261.1105021905725</v>
      </c>
      <c r="F150" s="3">
        <f t="shared" si="8"/>
        <v>36.634745536263331</v>
      </c>
      <c r="G150" s="98">
        <f t="shared" si="9"/>
        <v>2.3907657411703256</v>
      </c>
      <c r="H150" s="42">
        <f t="shared" si="10"/>
        <v>17.039944843593219</v>
      </c>
      <c r="I150" s="3"/>
      <c r="J150" s="102"/>
      <c r="K150" s="48" t="b">
        <f t="shared" si="11"/>
        <v>0</v>
      </c>
      <c r="L150" s="50"/>
    </row>
    <row r="151" spans="1:12" x14ac:dyDescent="0.3">
      <c r="A151" s="97">
        <v>40634</v>
      </c>
      <c r="B151" s="91">
        <f>6216979103.95/(10^9)</f>
        <v>6.21697910395</v>
      </c>
      <c r="C151" s="91">
        <f>288130967338.36/(10^9)</f>
        <v>288.13096733835999</v>
      </c>
      <c r="D151" s="91">
        <f>40725954678.64/(10^9)</f>
        <v>40.725954678640001</v>
      </c>
      <c r="E151" s="3">
        <f t="shared" si="8"/>
        <v>264.89663539767832</v>
      </c>
      <c r="F151" s="3">
        <f t="shared" si="8"/>
        <v>37.241396139872499</v>
      </c>
      <c r="G151" s="98">
        <f t="shared" si="9"/>
        <v>2.3469452885336604</v>
      </c>
      <c r="H151" s="42">
        <f t="shared" si="10"/>
        <v>16.693732642568122</v>
      </c>
      <c r="I151" s="3"/>
      <c r="J151" s="102"/>
      <c r="K151" s="48" t="b">
        <f t="shared" si="11"/>
        <v>0</v>
      </c>
      <c r="L151" s="50"/>
    </row>
    <row r="152" spans="1:12" x14ac:dyDescent="0.3">
      <c r="A152" s="97">
        <v>40664</v>
      </c>
      <c r="B152" s="91">
        <f>6308174908.45/(10^9)</f>
        <v>6.3081749084499998</v>
      </c>
      <c r="C152" s="91">
        <f>289507453182.92/(10^9)</f>
        <v>289.50745318291996</v>
      </c>
      <c r="D152" s="91">
        <f>40884315273.48/(10^9)</f>
        <v>40.884315273480006</v>
      </c>
      <c r="E152" s="3">
        <f t="shared" si="8"/>
        <v>269.02698467505667</v>
      </c>
      <c r="F152" s="3">
        <f t="shared" si="8"/>
        <v>37.82119595322083</v>
      </c>
      <c r="G152" s="98">
        <f t="shared" si="9"/>
        <v>2.3448112151534937</v>
      </c>
      <c r="H152" s="42">
        <f t="shared" si="10"/>
        <v>16.67894086758195</v>
      </c>
      <c r="I152" s="3"/>
      <c r="J152" s="102"/>
      <c r="K152" s="48" t="b">
        <f t="shared" si="11"/>
        <v>0</v>
      </c>
      <c r="L152" s="50"/>
    </row>
    <row r="153" spans="1:12" x14ac:dyDescent="0.3">
      <c r="A153" s="97">
        <v>40695</v>
      </c>
      <c r="B153" s="91">
        <f>6376401304.68/(10^9)</f>
        <v>6.3764013046799999</v>
      </c>
      <c r="C153" s="91">
        <f>296200410654.38/(10^9)</f>
        <v>296.20041065437999</v>
      </c>
      <c r="D153" s="91">
        <f>41921779966.8/(10^9)</f>
        <v>41.921779966800003</v>
      </c>
      <c r="E153" s="3">
        <f t="shared" si="8"/>
        <v>273.08794145063166</v>
      </c>
      <c r="F153" s="3">
        <f t="shared" si="8"/>
        <v>38.443949432800828</v>
      </c>
      <c r="G153" s="98">
        <f t="shared" si="9"/>
        <v>2.3349259842118344</v>
      </c>
      <c r="H153" s="42">
        <f t="shared" si="10"/>
        <v>16.586228519069842</v>
      </c>
      <c r="I153" s="3"/>
      <c r="J153" s="102"/>
      <c r="K153" s="48" t="b">
        <f t="shared" si="11"/>
        <v>0</v>
      </c>
      <c r="L153" s="50"/>
    </row>
    <row r="154" spans="1:12" x14ac:dyDescent="0.3">
      <c r="A154" s="97">
        <v>40725</v>
      </c>
      <c r="B154" s="91">
        <f>6338038436.79/(10^9)</f>
        <v>6.3380384367899998</v>
      </c>
      <c r="C154" s="91">
        <f>297379775445.8/(10^9)</f>
        <v>297.37977544579996</v>
      </c>
      <c r="D154" s="91">
        <f>42483239166.72/(10^9)</f>
        <v>42.483239166720004</v>
      </c>
      <c r="E154" s="3">
        <f t="shared" si="8"/>
        <v>276.99553223497247</v>
      </c>
      <c r="F154" s="3">
        <f t="shared" si="8"/>
        <v>39.050443180070836</v>
      </c>
      <c r="G154" s="98">
        <f t="shared" si="9"/>
        <v>2.2881374243298289</v>
      </c>
      <c r="H154" s="42">
        <f t="shared" si="10"/>
        <v>16.230387981933532</v>
      </c>
      <c r="I154" s="3"/>
      <c r="J154" s="102"/>
      <c r="K154" s="48" t="b">
        <f t="shared" si="11"/>
        <v>0</v>
      </c>
      <c r="L154" s="50"/>
    </row>
    <row r="155" spans="1:12" x14ac:dyDescent="0.3">
      <c r="A155" s="97">
        <v>40756</v>
      </c>
      <c r="B155" s="91">
        <f>6291764444.18/(10^9)</f>
        <v>6.29176444418</v>
      </c>
      <c r="C155" s="91">
        <f>304977356960.73/(10^9)</f>
        <v>304.97735696072999</v>
      </c>
      <c r="D155" s="91">
        <f>43173965099.18/(10^9)</f>
        <v>43.173965099180002</v>
      </c>
      <c r="E155" s="3">
        <f t="shared" si="8"/>
        <v>281.26877486693337</v>
      </c>
      <c r="F155" s="3">
        <f t="shared" si="8"/>
        <v>39.665302390786671</v>
      </c>
      <c r="G155" s="98">
        <f t="shared" si="9"/>
        <v>2.236922476430808</v>
      </c>
      <c r="H155" s="42">
        <f t="shared" si="10"/>
        <v>15.862136590294673</v>
      </c>
      <c r="I155" s="3"/>
      <c r="J155" s="102"/>
      <c r="K155" s="48" t="b">
        <f t="shared" si="11"/>
        <v>0</v>
      </c>
      <c r="L155" s="50"/>
    </row>
    <row r="156" spans="1:12" x14ac:dyDescent="0.3">
      <c r="A156" s="97">
        <v>40787</v>
      </c>
      <c r="B156" s="91">
        <f>6484079453.73/(10^9)</f>
        <v>6.4840794537299997</v>
      </c>
      <c r="C156" s="91">
        <f>310687473111.79/(10^9)</f>
        <v>310.68747311178998</v>
      </c>
      <c r="D156" s="91">
        <f>43327180062.33/(10^9)</f>
        <v>43.327180062330001</v>
      </c>
      <c r="E156" s="3">
        <f t="shared" si="8"/>
        <v>285.71621117828505</v>
      </c>
      <c r="F156" s="3">
        <f t="shared" si="8"/>
        <v>40.215731058752503</v>
      </c>
      <c r="G156" s="98">
        <f t="shared" si="9"/>
        <v>2.2694125149531597</v>
      </c>
      <c r="H156" s="42">
        <f t="shared" si="10"/>
        <v>16.123241535152481</v>
      </c>
      <c r="I156" s="3"/>
      <c r="J156" s="102"/>
      <c r="K156" s="48" t="b">
        <f t="shared" si="11"/>
        <v>0</v>
      </c>
      <c r="L156" s="50"/>
    </row>
    <row r="157" spans="1:12" x14ac:dyDescent="0.3">
      <c r="A157" s="97">
        <v>40817</v>
      </c>
      <c r="B157" s="91">
        <f>6568273351.14/(10^9)</f>
        <v>6.5682733511400002</v>
      </c>
      <c r="C157" s="91">
        <f>312676857291.01/(10^9)</f>
        <v>312.67685729101004</v>
      </c>
      <c r="D157" s="91">
        <f>44100268158.82/(10^9)</f>
        <v>44.100268158820001</v>
      </c>
      <c r="E157" s="3">
        <f t="shared" si="8"/>
        <v>289.92044038364503</v>
      </c>
      <c r="F157" s="3">
        <f t="shared" si="8"/>
        <v>40.773816121600838</v>
      </c>
      <c r="G157" s="98">
        <f t="shared" si="9"/>
        <v>2.2655433823321856</v>
      </c>
      <c r="H157" s="42">
        <f t="shared" si="10"/>
        <v>16.109047364002581</v>
      </c>
      <c r="I157" s="3"/>
      <c r="J157" s="102"/>
      <c r="K157" s="48" t="b">
        <f t="shared" si="11"/>
        <v>0</v>
      </c>
      <c r="L157" s="50"/>
    </row>
    <row r="158" spans="1:12" x14ac:dyDescent="0.3">
      <c r="A158" s="97">
        <v>40848</v>
      </c>
      <c r="B158" s="91">
        <f>6697738197.31001/(10^9)</f>
        <v>6.6977381973100103</v>
      </c>
      <c r="C158" s="91">
        <f>322530231677.78/(10^9)</f>
        <v>322.53023167778002</v>
      </c>
      <c r="D158" s="91">
        <f>44410153338.74/(10^9)</f>
        <v>44.410153338739995</v>
      </c>
      <c r="E158" s="3">
        <f t="shared" si="8"/>
        <v>294.59606083475836</v>
      </c>
      <c r="F158" s="3">
        <f t="shared" si="8"/>
        <v>41.332513584487494</v>
      </c>
      <c r="G158" s="98">
        <f t="shared" si="9"/>
        <v>2.2735328430161301</v>
      </c>
      <c r="H158" s="42">
        <f t="shared" si="10"/>
        <v>16.204526694509426</v>
      </c>
      <c r="I158" s="3"/>
      <c r="J158" s="102"/>
      <c r="K158" s="48" t="b">
        <f t="shared" si="11"/>
        <v>0</v>
      </c>
      <c r="L158" s="50"/>
    </row>
    <row r="159" spans="1:12" x14ac:dyDescent="0.3">
      <c r="A159" s="97">
        <v>40878</v>
      </c>
      <c r="B159" s="91">
        <f>6860696105.79/(10^9)</f>
        <v>6.8606961057899998</v>
      </c>
      <c r="C159" s="91">
        <f>325743208097.92/(10^9)</f>
        <v>325.74320809791999</v>
      </c>
      <c r="D159" s="91">
        <f>45857636324.86/(10^9)</f>
        <v>45.857636324860003</v>
      </c>
      <c r="E159" s="3">
        <f t="shared" si="8"/>
        <v>299.19694474981753</v>
      </c>
      <c r="F159" s="3">
        <f t="shared" si="8"/>
        <v>42.000523608468335</v>
      </c>
      <c r="G159" s="98">
        <f t="shared" si="9"/>
        <v>2.2930368194524098</v>
      </c>
      <c r="H159" s="42">
        <f t="shared" si="10"/>
        <v>16.334787084432243</v>
      </c>
      <c r="I159" s="3"/>
      <c r="J159" s="102"/>
      <c r="K159" s="48" t="b">
        <f t="shared" si="11"/>
        <v>0</v>
      </c>
      <c r="L159" s="50"/>
    </row>
    <row r="160" spans="1:12" x14ac:dyDescent="0.3">
      <c r="A160" s="97">
        <v>40909</v>
      </c>
      <c r="B160" s="91">
        <f>6914789076.72487/(10^9)</f>
        <v>6.9147890767248699</v>
      </c>
      <c r="C160" s="91">
        <f>324696643951.111/(10^9)</f>
        <v>324.69664395111101</v>
      </c>
      <c r="D160" s="91">
        <f>46652532635.2814/(10^9)</f>
        <v>46.652532635281403</v>
      </c>
      <c r="E160" s="3">
        <f t="shared" si="8"/>
        <v>303.29190236604848</v>
      </c>
      <c r="F160" s="3">
        <f t="shared" si="8"/>
        <v>42.708822695900118</v>
      </c>
      <c r="G160" s="98">
        <f t="shared" si="9"/>
        <v>2.2799121977148227</v>
      </c>
      <c r="H160" s="42">
        <f t="shared" si="10"/>
        <v>16.190540127880094</v>
      </c>
      <c r="I160" s="3"/>
      <c r="J160" s="102"/>
      <c r="K160" s="48" t="b">
        <f t="shared" si="11"/>
        <v>0</v>
      </c>
      <c r="L160" s="50"/>
    </row>
    <row r="161" spans="1:12" x14ac:dyDescent="0.3">
      <c r="A161" s="97">
        <v>40940</v>
      </c>
      <c r="B161" s="91">
        <f>6990777274.97103/(10^9)</f>
        <v>6.9907772749710304</v>
      </c>
      <c r="C161" s="91">
        <f>329611855183.789/(10^9)</f>
        <v>329.61185518378898</v>
      </c>
      <c r="D161" s="91">
        <f>48771792168.7076/(10^9)</f>
        <v>48.771792168707606</v>
      </c>
      <c r="E161" s="3">
        <f t="shared" si="8"/>
        <v>307.38378480376088</v>
      </c>
      <c r="F161" s="3">
        <f t="shared" si="8"/>
        <v>43.563012019585756</v>
      </c>
      <c r="G161" s="98">
        <f t="shared" si="9"/>
        <v>2.2742830365739897</v>
      </c>
      <c r="H161" s="42">
        <f t="shared" si="10"/>
        <v>16.047506705523496</v>
      </c>
      <c r="I161" s="3"/>
      <c r="J161" s="102"/>
      <c r="K161" s="48" t="b">
        <f t="shared" si="11"/>
        <v>0</v>
      </c>
      <c r="L161" s="50"/>
    </row>
    <row r="162" spans="1:12" x14ac:dyDescent="0.3">
      <c r="A162" s="97">
        <v>40969</v>
      </c>
      <c r="B162" s="91">
        <f>7081362288.74184/(10^9)</f>
        <v>7.0813622887418406</v>
      </c>
      <c r="C162" s="91">
        <f>333679169234.013/(10^9)</f>
        <v>333.67916923401299</v>
      </c>
      <c r="D162" s="91">
        <f>48116068566.1184/(10^9)</f>
        <v>48.1160685661184</v>
      </c>
      <c r="E162" s="3">
        <f t="shared" si="8"/>
        <v>311.31845017746696</v>
      </c>
      <c r="F162" s="3">
        <f t="shared" si="8"/>
        <v>44.202073786639794</v>
      </c>
      <c r="G162" s="98">
        <f t="shared" si="9"/>
        <v>2.2746362397426534</v>
      </c>
      <c r="H162" s="42">
        <f t="shared" si="10"/>
        <v>16.020429998201134</v>
      </c>
      <c r="I162" s="3"/>
      <c r="J162" s="102"/>
      <c r="K162" s="48" t="b">
        <f t="shared" si="11"/>
        <v>0</v>
      </c>
      <c r="L162" s="50"/>
    </row>
    <row r="163" spans="1:12" x14ac:dyDescent="0.3">
      <c r="A163" s="97">
        <v>41000</v>
      </c>
      <c r="B163" s="91">
        <f>7152660825.88/(10^9)</f>
        <v>7.15266082588</v>
      </c>
      <c r="C163" s="91">
        <f>335120822270.78/(10^9)</f>
        <v>335.12082227078002</v>
      </c>
      <c r="D163" s="91">
        <f>48906176185.89/(10^9)</f>
        <v>48.906176185889997</v>
      </c>
      <c r="E163" s="3">
        <f t="shared" si="8"/>
        <v>315.23427142183527</v>
      </c>
      <c r="F163" s="3">
        <f t="shared" si="8"/>
        <v>44.883758912243955</v>
      </c>
      <c r="G163" s="98">
        <f t="shared" si="9"/>
        <v>2.2689984796445448</v>
      </c>
      <c r="H163" s="42">
        <f t="shared" si="10"/>
        <v>15.935966592871095</v>
      </c>
      <c r="I163" s="3"/>
      <c r="J163" s="102"/>
      <c r="K163" s="48" t="b">
        <f t="shared" si="11"/>
        <v>0</v>
      </c>
      <c r="L163" s="50"/>
    </row>
    <row r="164" spans="1:12" x14ac:dyDescent="0.3">
      <c r="A164" s="97">
        <v>41030</v>
      </c>
      <c r="B164" s="91">
        <f>7159799464.59/(10^9)</f>
        <v>7.1597994645899998</v>
      </c>
      <c r="C164" s="91">
        <f>337121702657.3/(10^9)</f>
        <v>337.12170265729998</v>
      </c>
      <c r="D164" s="91">
        <f>49363682971.17/(10^9)</f>
        <v>49.36368297117</v>
      </c>
      <c r="E164" s="3">
        <f t="shared" si="8"/>
        <v>319.20212554470027</v>
      </c>
      <c r="F164" s="3">
        <f t="shared" si="8"/>
        <v>45.590372887051451</v>
      </c>
      <c r="G164" s="98">
        <f t="shared" si="9"/>
        <v>2.2430300087670814</v>
      </c>
      <c r="H164" s="42">
        <f t="shared" si="10"/>
        <v>15.704630190957532</v>
      </c>
      <c r="I164" s="3"/>
      <c r="J164" s="102"/>
      <c r="K164" s="48" t="b">
        <f t="shared" si="11"/>
        <v>0</v>
      </c>
      <c r="L164" s="50"/>
    </row>
    <row r="165" spans="1:12" x14ac:dyDescent="0.3">
      <c r="A165" s="97">
        <v>41061</v>
      </c>
      <c r="B165" s="91">
        <f>7258954727.62/(10^9)</f>
        <v>7.2589547276199999</v>
      </c>
      <c r="C165" s="91">
        <f>345564841849.07/(10^9)</f>
        <v>345.56484184907004</v>
      </c>
      <c r="D165" s="91">
        <f>49663396711.83/(10^9)</f>
        <v>49.663396711830003</v>
      </c>
      <c r="E165" s="3">
        <f t="shared" si="8"/>
        <v>323.31582814425775</v>
      </c>
      <c r="F165" s="3">
        <f t="shared" si="8"/>
        <v>46.235507615803954</v>
      </c>
      <c r="G165" s="98">
        <f t="shared" si="9"/>
        <v>2.2451590969994775</v>
      </c>
      <c r="H165" s="42">
        <f t="shared" si="10"/>
        <v>15.699956812280755</v>
      </c>
      <c r="I165" s="3"/>
      <c r="J165" s="102"/>
      <c r="K165" s="48" t="b">
        <f t="shared" si="11"/>
        <v>0</v>
      </c>
      <c r="L165" s="50"/>
    </row>
    <row r="166" spans="1:12" x14ac:dyDescent="0.3">
      <c r="A166" s="97">
        <v>41091</v>
      </c>
      <c r="B166" s="91">
        <f>7245266649.25/(10^9)</f>
        <v>7.2452666492500004</v>
      </c>
      <c r="C166" s="91">
        <f>346261455252.88/(10^9)</f>
        <v>346.26145525288001</v>
      </c>
      <c r="D166" s="91">
        <f>50675985677.34/(10^9)</f>
        <v>50.675985677339995</v>
      </c>
      <c r="E166" s="3">
        <f t="shared" si="8"/>
        <v>327.38930146151444</v>
      </c>
      <c r="F166" s="3">
        <f t="shared" si="8"/>
        <v>46.918236491688958</v>
      </c>
      <c r="G166" s="98">
        <f t="shared" si="9"/>
        <v>2.2130431925863352</v>
      </c>
      <c r="H166" s="42">
        <f t="shared" si="10"/>
        <v>15.442325183158617</v>
      </c>
      <c r="I166" s="3"/>
      <c r="J166" s="102"/>
      <c r="K166" s="48" t="b">
        <f t="shared" si="11"/>
        <v>0</v>
      </c>
      <c r="L166" s="50"/>
    </row>
    <row r="167" spans="1:12" x14ac:dyDescent="0.3">
      <c r="A167" s="97">
        <v>41122</v>
      </c>
      <c r="B167" s="91">
        <f>7275364953.89/(10^9)</f>
        <v>7.2753649538900005</v>
      </c>
      <c r="C167" s="91">
        <f>349775531625.74/(10^9)</f>
        <v>349.77553162573997</v>
      </c>
      <c r="D167" s="91">
        <f>51085844900.1/(10^9)</f>
        <v>51.0858449001</v>
      </c>
      <c r="E167" s="3">
        <f t="shared" si="8"/>
        <v>331.12248268359855</v>
      </c>
      <c r="F167" s="3">
        <f t="shared" si="8"/>
        <v>47.577559808432291</v>
      </c>
      <c r="G167" s="98">
        <f t="shared" si="9"/>
        <v>2.1971824126608515</v>
      </c>
      <c r="H167" s="42">
        <f t="shared" si="10"/>
        <v>15.291589108781004</v>
      </c>
      <c r="I167" s="3"/>
      <c r="J167" s="102"/>
      <c r="K167" s="48" t="b">
        <f t="shared" si="11"/>
        <v>0</v>
      </c>
      <c r="L167" s="50"/>
    </row>
    <row r="168" spans="1:12" x14ac:dyDescent="0.3">
      <c r="A168" s="97">
        <v>41153</v>
      </c>
      <c r="B168" s="91">
        <f>7166082604.27/(10^9)</f>
        <v>7.1660826042700005</v>
      </c>
      <c r="C168" s="91">
        <f>359852897625.45/(10^9)</f>
        <v>359.85289762545</v>
      </c>
      <c r="D168" s="91">
        <f>51282817678.85/(10^9)</f>
        <v>51.282817678850002</v>
      </c>
      <c r="E168" s="3">
        <f t="shared" si="8"/>
        <v>335.21960139307026</v>
      </c>
      <c r="F168" s="3">
        <f t="shared" si="8"/>
        <v>48.240529609808959</v>
      </c>
      <c r="G168" s="98">
        <f t="shared" si="9"/>
        <v>2.1377277982820666</v>
      </c>
      <c r="H168" s="42">
        <f t="shared" si="10"/>
        <v>14.854900355017847</v>
      </c>
      <c r="I168" s="3"/>
      <c r="J168" s="102"/>
      <c r="K168" s="48" t="b">
        <f t="shared" si="11"/>
        <v>0</v>
      </c>
      <c r="L168" s="50"/>
    </row>
    <row r="169" spans="1:12" x14ac:dyDescent="0.3">
      <c r="A169" s="97">
        <v>41183</v>
      </c>
      <c r="B169" s="91">
        <f>7139701011.17/(10^9)</f>
        <v>7.1397010111699997</v>
      </c>
      <c r="C169" s="91">
        <f>362363849449.08/(10^9)</f>
        <v>362.36384944908002</v>
      </c>
      <c r="D169" s="91">
        <f>52125657864.87/(10^9)</f>
        <v>52.12565786487</v>
      </c>
      <c r="E169" s="3">
        <f t="shared" si="8"/>
        <v>339.36018407290942</v>
      </c>
      <c r="F169" s="3">
        <f t="shared" si="8"/>
        <v>48.909312085313125</v>
      </c>
      <c r="G169" s="98">
        <f t="shared" si="9"/>
        <v>2.1038711511413135</v>
      </c>
      <c r="H169" s="42">
        <f t="shared" si="10"/>
        <v>14.597835681508114</v>
      </c>
      <c r="I169" s="3"/>
      <c r="J169" s="102"/>
      <c r="K169" s="48" t="b">
        <f t="shared" si="11"/>
        <v>0</v>
      </c>
      <c r="L169" s="50"/>
    </row>
    <row r="170" spans="1:12" x14ac:dyDescent="0.3">
      <c r="A170" s="97">
        <v>41214</v>
      </c>
      <c r="B170" s="91">
        <f>7220923628.11/(10^9)</f>
        <v>7.2209236281099995</v>
      </c>
      <c r="C170" s="91">
        <f>364336559909.19/(10^9)</f>
        <v>364.33655990918999</v>
      </c>
      <c r="D170" s="91">
        <f>52569449647.58/(10^9)</f>
        <v>52.569449647580001</v>
      </c>
      <c r="E170" s="3">
        <f t="shared" si="8"/>
        <v>342.84404475886026</v>
      </c>
      <c r="F170" s="3">
        <f t="shared" si="8"/>
        <v>49.589253444383111</v>
      </c>
      <c r="G170" s="98">
        <f t="shared" si="9"/>
        <v>2.1061831869323684</v>
      </c>
      <c r="H170" s="42">
        <f t="shared" si="10"/>
        <v>14.561468718638073</v>
      </c>
      <c r="I170" s="3"/>
      <c r="J170" s="102"/>
      <c r="K170" s="48" t="b">
        <f t="shared" si="11"/>
        <v>0</v>
      </c>
      <c r="L170" s="50"/>
    </row>
    <row r="171" spans="1:12" x14ac:dyDescent="0.3">
      <c r="A171" s="97">
        <v>41244</v>
      </c>
      <c r="B171" s="91">
        <f>7361425816.56/(10^9)</f>
        <v>7.3614258165600006</v>
      </c>
      <c r="C171" s="91">
        <f>372794237906.87/(10^9)</f>
        <v>372.79423790687002</v>
      </c>
      <c r="D171" s="91">
        <f>54295855825.31/(10^9)</f>
        <v>54.295855825309999</v>
      </c>
      <c r="E171" s="3">
        <f t="shared" si="8"/>
        <v>346.76496390960614</v>
      </c>
      <c r="F171" s="3">
        <f t="shared" si="8"/>
        <v>50.292438402753952</v>
      </c>
      <c r="G171" s="98">
        <f t="shared" si="9"/>
        <v>2.1228862724663728</v>
      </c>
      <c r="H171" s="42">
        <f t="shared" si="10"/>
        <v>14.637241800860659</v>
      </c>
      <c r="I171" s="3"/>
      <c r="J171" s="102"/>
      <c r="K171" s="48" t="b">
        <f t="shared" si="11"/>
        <v>0</v>
      </c>
      <c r="L171" s="50"/>
    </row>
    <row r="172" spans="1:12" x14ac:dyDescent="0.3">
      <c r="A172" s="97">
        <v>41275</v>
      </c>
      <c r="B172" s="91">
        <f>7409901386.86513/(10^9)</f>
        <v>7.4099013868651307</v>
      </c>
      <c r="C172" s="91">
        <f>373262095838.34/(10^9)</f>
        <v>373.26209583834003</v>
      </c>
      <c r="D172" s="91">
        <f>54924137177.39/(10^9)</f>
        <v>54.924137177390001</v>
      </c>
      <c r="E172" s="3">
        <f t="shared" si="8"/>
        <v>350.8120849002085</v>
      </c>
      <c r="F172" s="3">
        <f t="shared" si="8"/>
        <v>50.981738781262997</v>
      </c>
      <c r="G172" s="98">
        <f t="shared" si="9"/>
        <v>2.1122138335037519</v>
      </c>
      <c r="H172" s="42">
        <f t="shared" si="10"/>
        <v>14.534422646228862</v>
      </c>
      <c r="I172" s="3"/>
      <c r="J172" s="3"/>
      <c r="K172" s="48" t="b">
        <f t="shared" si="11"/>
        <v>0</v>
      </c>
      <c r="L172" s="50"/>
    </row>
    <row r="173" spans="1:12" x14ac:dyDescent="0.3">
      <c r="A173" s="97">
        <v>41306</v>
      </c>
      <c r="B173" s="91">
        <f>7761119652.84897/(10^9)</f>
        <v>7.7611196528489703</v>
      </c>
      <c r="C173" s="91">
        <f>378251115682.85/(10^9)</f>
        <v>378.25111568284996</v>
      </c>
      <c r="D173" s="91">
        <f>55993796452.29/(10^9)</f>
        <v>55.993796452289999</v>
      </c>
      <c r="E173" s="3">
        <f t="shared" si="8"/>
        <v>354.86535660846357</v>
      </c>
      <c r="F173" s="3">
        <f t="shared" si="8"/>
        <v>51.583572471561524</v>
      </c>
      <c r="G173" s="98">
        <f t="shared" si="9"/>
        <v>2.1870603901783818</v>
      </c>
      <c r="H173" s="42">
        <f t="shared" si="10"/>
        <v>15.045719559512369</v>
      </c>
      <c r="I173" s="3">
        <f t="shared" ref="I173:I231" si="12">AVERAGE($G$173:$G$232)</f>
        <v>1.9379764437467331</v>
      </c>
      <c r="J173" s="3">
        <f>AVERAGE($H$173:$H$232)</f>
        <v>13.679137989445179</v>
      </c>
      <c r="K173" s="48" t="b">
        <f t="shared" si="11"/>
        <v>0</v>
      </c>
      <c r="L173" s="50"/>
    </row>
    <row r="174" spans="1:12" x14ac:dyDescent="0.3">
      <c r="A174" s="97">
        <v>41334</v>
      </c>
      <c r="B174" s="91">
        <f>7739946032.46816/(10^9)</f>
        <v>7.7399460324681595</v>
      </c>
      <c r="C174" s="91">
        <f>385008598765.62/(10^9)</f>
        <v>385.00859876561998</v>
      </c>
      <c r="D174" s="91">
        <f>54863441297.4/(10^9)</f>
        <v>54.863441297400001</v>
      </c>
      <c r="E174" s="3">
        <f t="shared" si="8"/>
        <v>359.14280906943083</v>
      </c>
      <c r="F174" s="102">
        <f t="shared" si="8"/>
        <v>52.145853532501661</v>
      </c>
      <c r="G174" s="103">
        <f t="shared" si="9"/>
        <v>2.1551165266326811</v>
      </c>
      <c r="H174" s="42">
        <f t="shared" si="10"/>
        <v>14.842879170908532</v>
      </c>
      <c r="I174" s="3">
        <f t="shared" si="12"/>
        <v>1.9379764437467331</v>
      </c>
      <c r="J174" s="3">
        <f t="shared" ref="J174:J232" si="13">AVERAGE($H$173:$H$232)</f>
        <v>13.679137989445179</v>
      </c>
      <c r="K174" s="48" t="b">
        <f t="shared" si="11"/>
        <v>0</v>
      </c>
      <c r="L174" s="50"/>
    </row>
    <row r="175" spans="1:12" x14ac:dyDescent="0.3">
      <c r="A175" s="97">
        <v>41365</v>
      </c>
      <c r="B175" s="91">
        <f>7790632092.32/(10^9)</f>
        <v>7.7906320923200001</v>
      </c>
      <c r="C175" s="91">
        <f>390158226602.61/(10^9)</f>
        <v>390.15822660261</v>
      </c>
      <c r="D175" s="91">
        <f>55299095445.84/(10^9)</f>
        <v>55.299095445839995</v>
      </c>
      <c r="E175" s="3">
        <f t="shared" si="8"/>
        <v>363.72925943041668</v>
      </c>
      <c r="F175" s="102">
        <f t="shared" si="8"/>
        <v>52.678596804164158</v>
      </c>
      <c r="G175" s="103">
        <f t="shared" si="9"/>
        <v>2.1418766542234664</v>
      </c>
      <c r="H175" s="42">
        <f t="shared" si="10"/>
        <v>14.788989390287183</v>
      </c>
      <c r="I175" s="3">
        <f t="shared" si="12"/>
        <v>1.9379764437467331</v>
      </c>
      <c r="J175" s="3">
        <f t="shared" si="13"/>
        <v>13.679137989445179</v>
      </c>
      <c r="K175" s="48" t="b">
        <f t="shared" si="11"/>
        <v>0</v>
      </c>
      <c r="L175" s="50"/>
    </row>
    <row r="176" spans="1:12" x14ac:dyDescent="0.3">
      <c r="A176" s="97">
        <v>41395</v>
      </c>
      <c r="B176" s="91">
        <f>7703724194.07/(10^9)</f>
        <v>7.7037241940699994</v>
      </c>
      <c r="C176" s="91">
        <f>397093892971.46/(10^9)</f>
        <v>397.09389297146004</v>
      </c>
      <c r="D176" s="91">
        <f>55546282368/(10^9)</f>
        <v>55.546282368</v>
      </c>
      <c r="E176" s="3">
        <f t="shared" si="8"/>
        <v>368.72694195659665</v>
      </c>
      <c r="F176" s="102">
        <f t="shared" si="8"/>
        <v>53.193813420566663</v>
      </c>
      <c r="G176" s="103">
        <f t="shared" si="9"/>
        <v>2.0892761871945922</v>
      </c>
      <c r="H176" s="42">
        <f t="shared" si="10"/>
        <v>14.482368716756561</v>
      </c>
      <c r="I176" s="3">
        <f t="shared" si="12"/>
        <v>1.9379764437467331</v>
      </c>
      <c r="J176" s="3">
        <f t="shared" si="13"/>
        <v>13.679137989445179</v>
      </c>
      <c r="K176" s="48" t="b">
        <f t="shared" si="11"/>
        <v>0</v>
      </c>
      <c r="L176" s="50"/>
    </row>
    <row r="177" spans="1:12" x14ac:dyDescent="0.3">
      <c r="A177" s="97">
        <v>41426</v>
      </c>
      <c r="B177" s="91">
        <f>7406146497.53/(10^9)</f>
        <v>7.40614649753</v>
      </c>
      <c r="C177" s="91">
        <f>401759691570.95/(10^9)</f>
        <v>401.75969157095</v>
      </c>
      <c r="D177" s="91">
        <f>55260810601.98/(10^9)</f>
        <v>55.260810601980005</v>
      </c>
      <c r="E177" s="3">
        <f t="shared" si="8"/>
        <v>373.40984610008667</v>
      </c>
      <c r="F177" s="102">
        <f t="shared" si="8"/>
        <v>53.660264578079165</v>
      </c>
      <c r="G177" s="103">
        <f t="shared" si="9"/>
        <v>1.9833827562074777</v>
      </c>
      <c r="H177" s="42">
        <f t="shared" si="10"/>
        <v>13.801919457093948</v>
      </c>
      <c r="I177" s="3">
        <f t="shared" si="12"/>
        <v>1.9379764437467331</v>
      </c>
      <c r="J177" s="3">
        <f t="shared" si="13"/>
        <v>13.679137989445179</v>
      </c>
      <c r="K177" s="48" t="b">
        <f t="shared" si="11"/>
        <v>0</v>
      </c>
      <c r="L177" s="50"/>
    </row>
    <row r="178" spans="1:12" x14ac:dyDescent="0.3">
      <c r="A178" s="97">
        <v>41456</v>
      </c>
      <c r="B178" s="91">
        <f>7541924909.98/(10^9)</f>
        <v>7.5419249099799996</v>
      </c>
      <c r="C178" s="91">
        <f>404584247478.92/(10^9)</f>
        <v>404.58424747891996</v>
      </c>
      <c r="D178" s="91">
        <f>56074477158.56/(10^9)</f>
        <v>56.074477158560001</v>
      </c>
      <c r="E178" s="3">
        <f t="shared" si="8"/>
        <v>378.27007878558993</v>
      </c>
      <c r="F178" s="102">
        <f t="shared" si="8"/>
        <v>54.110138868180833</v>
      </c>
      <c r="G178" s="103">
        <f t="shared" si="9"/>
        <v>1.9937936762518544</v>
      </c>
      <c r="H178" s="42">
        <f t="shared" si="10"/>
        <v>13.93809934281094</v>
      </c>
      <c r="I178" s="3">
        <f t="shared" si="12"/>
        <v>1.9379764437467331</v>
      </c>
      <c r="J178" s="3">
        <f t="shared" si="13"/>
        <v>13.679137989445179</v>
      </c>
      <c r="K178" s="48" t="b">
        <f t="shared" si="11"/>
        <v>0</v>
      </c>
      <c r="L178" s="50"/>
    </row>
    <row r="179" spans="1:12" x14ac:dyDescent="0.3">
      <c r="A179" s="97">
        <v>41487</v>
      </c>
      <c r="B179" s="91">
        <f>7551131087.73/(10^9)</f>
        <v>7.55113108773</v>
      </c>
      <c r="C179" s="91">
        <f>411110313664.27/(10^9)</f>
        <v>411.11031366427</v>
      </c>
      <c r="D179" s="91">
        <f>58789865164.76/(10^9)</f>
        <v>58.789865164760002</v>
      </c>
      <c r="E179" s="3">
        <f t="shared" si="8"/>
        <v>383.38131062213409</v>
      </c>
      <c r="F179" s="102">
        <f t="shared" si="8"/>
        <v>54.752140556902503</v>
      </c>
      <c r="G179" s="103">
        <f t="shared" si="9"/>
        <v>1.9696137705503591</v>
      </c>
      <c r="H179" s="42">
        <f t="shared" si="10"/>
        <v>13.791481046996331</v>
      </c>
      <c r="I179" s="3">
        <f t="shared" si="12"/>
        <v>1.9379764437467331</v>
      </c>
      <c r="J179" s="3">
        <f t="shared" si="13"/>
        <v>13.679137989445179</v>
      </c>
      <c r="K179" s="48" t="b">
        <f t="shared" si="11"/>
        <v>0</v>
      </c>
      <c r="L179" s="50"/>
    </row>
    <row r="180" spans="1:12" x14ac:dyDescent="0.3">
      <c r="A180" s="97">
        <v>41518</v>
      </c>
      <c r="B180" s="91">
        <f>7735670474.58/(10^9)</f>
        <v>7.73567047458</v>
      </c>
      <c r="C180" s="91">
        <f>414358687587.62/(10^9)</f>
        <v>414.35868758762001</v>
      </c>
      <c r="D180" s="91">
        <f>59556920327.73/(10^9)</f>
        <v>59.556920327730005</v>
      </c>
      <c r="E180" s="3">
        <f t="shared" ref="E180:F207" si="14">+AVERAGE(C169:C180)</f>
        <v>387.92345978564828</v>
      </c>
      <c r="F180" s="102">
        <f t="shared" si="14"/>
        <v>55.441649110975838</v>
      </c>
      <c r="G180" s="103">
        <f t="shared" si="9"/>
        <v>1.9941228815742253</v>
      </c>
      <c r="H180" s="42">
        <f t="shared" si="10"/>
        <v>13.952814533160346</v>
      </c>
      <c r="I180" s="3">
        <f t="shared" si="12"/>
        <v>1.9379764437467331</v>
      </c>
      <c r="J180" s="3">
        <f t="shared" si="13"/>
        <v>13.679137989445179</v>
      </c>
      <c r="K180" s="48" t="b">
        <f t="shared" si="11"/>
        <v>0</v>
      </c>
      <c r="L180" s="50"/>
    </row>
    <row r="181" spans="1:12" x14ac:dyDescent="0.3">
      <c r="A181" s="97">
        <v>41548</v>
      </c>
      <c r="B181" s="91">
        <f>7728421263.54/(10^9)</f>
        <v>7.7284212635399996</v>
      </c>
      <c r="C181" s="91">
        <f>420458086751.56/(10^9)</f>
        <v>420.45808675156002</v>
      </c>
      <c r="D181" s="91">
        <f>60748066272.21/(10^9)</f>
        <v>60.748066272209996</v>
      </c>
      <c r="E181" s="3">
        <f t="shared" si="14"/>
        <v>392.76464622752161</v>
      </c>
      <c r="F181" s="102">
        <f t="shared" si="14"/>
        <v>56.160183144920836</v>
      </c>
      <c r="G181" s="103">
        <f t="shared" si="9"/>
        <v>1.9676977899541044</v>
      </c>
      <c r="H181" s="42">
        <f t="shared" si="10"/>
        <v>13.761388996180585</v>
      </c>
      <c r="I181" s="3">
        <f t="shared" si="12"/>
        <v>1.9379764437467331</v>
      </c>
      <c r="J181" s="3">
        <f t="shared" si="13"/>
        <v>13.679137989445179</v>
      </c>
      <c r="K181" s="48" t="b">
        <f t="shared" si="11"/>
        <v>0</v>
      </c>
      <c r="L181" s="50"/>
    </row>
    <row r="182" spans="1:12" x14ac:dyDescent="0.3">
      <c r="A182" s="97">
        <v>41579</v>
      </c>
      <c r="B182" s="91">
        <f>7681417962.97999/(10^9)</f>
        <v>7.6814179629799897</v>
      </c>
      <c r="C182" s="91">
        <f>425853450268.72/(10^9)</f>
        <v>425.85345026872</v>
      </c>
      <c r="D182" s="91">
        <f>61390827601.3/(10^9)</f>
        <v>61.390827601300003</v>
      </c>
      <c r="E182" s="3">
        <f t="shared" si="14"/>
        <v>397.8910537574825</v>
      </c>
      <c r="F182" s="3">
        <f t="shared" si="14"/>
        <v>56.895297974397494</v>
      </c>
      <c r="G182" s="98">
        <f t="shared" si="9"/>
        <v>1.9305329663586428</v>
      </c>
      <c r="H182" s="42">
        <f t="shared" si="10"/>
        <v>13.500971497568351</v>
      </c>
      <c r="I182" s="3">
        <f t="shared" si="12"/>
        <v>1.9379764437467331</v>
      </c>
      <c r="J182" s="3">
        <f t="shared" si="13"/>
        <v>13.679137989445179</v>
      </c>
      <c r="K182" s="48" t="b">
        <f t="shared" si="11"/>
        <v>0</v>
      </c>
      <c r="L182" s="50"/>
    </row>
    <row r="183" spans="1:12" x14ac:dyDescent="0.3">
      <c r="A183" s="97">
        <v>41609</v>
      </c>
      <c r="B183" s="91">
        <f>7510218089.43/(10^9)</f>
        <v>7.5102180894300004</v>
      </c>
      <c r="C183" s="91">
        <f>427777760058.81/(10^9)</f>
        <v>427.77776005880997</v>
      </c>
      <c r="D183" s="91">
        <f>63033452921.19/(10^9)</f>
        <v>63.033452921190005</v>
      </c>
      <c r="E183" s="3">
        <f t="shared" si="14"/>
        <v>402.47301393681079</v>
      </c>
      <c r="F183" s="3">
        <f t="shared" si="14"/>
        <v>57.62343106572083</v>
      </c>
      <c r="G183" s="98">
        <f t="shared" si="9"/>
        <v>1.8660178022790672</v>
      </c>
      <c r="H183" s="42">
        <f t="shared" si="10"/>
        <v>13.033271276166158</v>
      </c>
      <c r="I183" s="3">
        <f t="shared" si="12"/>
        <v>1.9379764437467331</v>
      </c>
      <c r="J183" s="3">
        <f t="shared" si="13"/>
        <v>13.679137989445179</v>
      </c>
      <c r="K183" s="48" t="b">
        <f t="shared" si="11"/>
        <v>0</v>
      </c>
      <c r="L183" s="50"/>
    </row>
    <row r="184" spans="1:12" x14ac:dyDescent="0.3">
      <c r="A184" s="97">
        <v>41640</v>
      </c>
      <c r="B184" s="91">
        <f>7451685036.23/(10^9)</f>
        <v>7.4516850362299998</v>
      </c>
      <c r="C184" s="91">
        <f>428083766077.12/(10^9)</f>
        <v>428.08376607712</v>
      </c>
      <c r="D184" s="91">
        <f>62912578037.52/(10^9)</f>
        <v>62.912578037519999</v>
      </c>
      <c r="E184" s="3">
        <f t="shared" si="14"/>
        <v>407.04148645670921</v>
      </c>
      <c r="F184" s="3">
        <f t="shared" si="14"/>
        <v>58.289134470731661</v>
      </c>
      <c r="G184" s="98">
        <f t="shared" si="9"/>
        <v>1.8306942373606239</v>
      </c>
      <c r="H184" s="42">
        <f t="shared" si="10"/>
        <v>12.784003577839478</v>
      </c>
      <c r="I184" s="3">
        <f t="shared" si="12"/>
        <v>1.9379764437467331</v>
      </c>
      <c r="J184" s="3">
        <f t="shared" si="13"/>
        <v>13.679137989445179</v>
      </c>
      <c r="K184" s="48" t="b">
        <f t="shared" si="11"/>
        <v>0</v>
      </c>
      <c r="L184" s="50"/>
    </row>
    <row r="185" spans="1:12" x14ac:dyDescent="0.3">
      <c r="A185" s="97">
        <v>41671</v>
      </c>
      <c r="B185" s="91">
        <f>7125085880.53/(10^9)</f>
        <v>7.1250858805299995</v>
      </c>
      <c r="C185" s="91">
        <f>439642754689.85/(10^9)</f>
        <v>439.64275468984999</v>
      </c>
      <c r="D185" s="91">
        <f>63348516390.84/(10^9)</f>
        <v>63.348516390839997</v>
      </c>
      <c r="E185" s="3">
        <f t="shared" si="14"/>
        <v>412.15745637395918</v>
      </c>
      <c r="F185" s="3">
        <f t="shared" si="14"/>
        <v>58.902027798944168</v>
      </c>
      <c r="G185" s="98">
        <f t="shared" si="9"/>
        <v>1.7287290986348816</v>
      </c>
      <c r="H185" s="42">
        <f t="shared" si="10"/>
        <v>12.096503544582074</v>
      </c>
      <c r="I185" s="3">
        <f t="shared" si="12"/>
        <v>1.9379764437467331</v>
      </c>
      <c r="J185" s="3">
        <f t="shared" si="13"/>
        <v>13.679137989445179</v>
      </c>
      <c r="K185" s="48" t="b">
        <f t="shared" si="11"/>
        <v>0</v>
      </c>
      <c r="L185" s="50"/>
    </row>
    <row r="186" spans="1:12" x14ac:dyDescent="0.3">
      <c r="A186" s="97">
        <v>41699</v>
      </c>
      <c r="B186" s="91">
        <f>7350408646.42/(10^9)</f>
        <v>7.35040864642</v>
      </c>
      <c r="C186" s="91">
        <f>443614326856.58/(10^9)</f>
        <v>443.61432685658002</v>
      </c>
      <c r="D186" s="91">
        <f>65476958792.09/(10^9)</f>
        <v>65.476958792090002</v>
      </c>
      <c r="E186" s="3">
        <f t="shared" si="14"/>
        <v>417.04126704820595</v>
      </c>
      <c r="F186" s="3">
        <f t="shared" si="14"/>
        <v>59.786487590168342</v>
      </c>
      <c r="G186" s="98">
        <f t="shared" si="9"/>
        <v>1.7625135033867916</v>
      </c>
      <c r="H186" s="42">
        <f t="shared" si="10"/>
        <v>12.294431304957186</v>
      </c>
      <c r="I186" s="3">
        <f t="shared" si="12"/>
        <v>1.9379764437467331</v>
      </c>
      <c r="J186" s="3">
        <f t="shared" si="13"/>
        <v>13.679137989445179</v>
      </c>
      <c r="K186" s="48" t="b">
        <f t="shared" si="11"/>
        <v>0</v>
      </c>
      <c r="L186" s="50"/>
    </row>
    <row r="187" spans="1:12" x14ac:dyDescent="0.3">
      <c r="A187" s="97">
        <v>41730</v>
      </c>
      <c r="B187" s="91">
        <f>7269336435.85/(10^9)</f>
        <v>7.2693364358500006</v>
      </c>
      <c r="C187" s="91">
        <f>447342787668.16/(10^9)</f>
        <v>447.34278766815999</v>
      </c>
      <c r="D187" s="91">
        <f>66126120743.08/(10^9)</f>
        <v>66.126120743080008</v>
      </c>
      <c r="E187" s="3">
        <f t="shared" si="14"/>
        <v>421.80664713700168</v>
      </c>
      <c r="F187" s="3">
        <f t="shared" si="14"/>
        <v>60.688739698271682</v>
      </c>
      <c r="G187" s="98">
        <f t="shared" si="9"/>
        <v>1.7233811949599123</v>
      </c>
      <c r="H187" s="42">
        <f t="shared" si="10"/>
        <v>11.978064583300318</v>
      </c>
      <c r="I187" s="3">
        <f t="shared" si="12"/>
        <v>1.9379764437467331</v>
      </c>
      <c r="J187" s="3">
        <f t="shared" si="13"/>
        <v>13.679137989445179</v>
      </c>
      <c r="K187" s="48" t="b">
        <f t="shared" si="11"/>
        <v>0</v>
      </c>
      <c r="L187" s="50"/>
    </row>
    <row r="188" spans="1:12" x14ac:dyDescent="0.3">
      <c r="A188" s="97">
        <v>41760</v>
      </c>
      <c r="B188" s="91">
        <f>7419695054.72/(10^9)</f>
        <v>7.41969505472</v>
      </c>
      <c r="C188" s="91">
        <f>446561373787.21/(10^9)</f>
        <v>446.56137378721002</v>
      </c>
      <c r="D188" s="91">
        <f>66869355987.67/(10^9)</f>
        <v>66.869355987670005</v>
      </c>
      <c r="E188" s="3">
        <f t="shared" si="14"/>
        <v>425.92893720498085</v>
      </c>
      <c r="F188" s="3">
        <f t="shared" si="14"/>
        <v>61.632329166577513</v>
      </c>
      <c r="G188" s="98">
        <f t="shared" si="9"/>
        <v>1.7420030447823804</v>
      </c>
      <c r="H188" s="42">
        <f t="shared" si="10"/>
        <v>12.038641334917475</v>
      </c>
      <c r="I188" s="3">
        <f t="shared" si="12"/>
        <v>1.9379764437467331</v>
      </c>
      <c r="J188" s="3">
        <f t="shared" si="13"/>
        <v>13.679137989445179</v>
      </c>
      <c r="K188" s="48" t="b">
        <f t="shared" si="11"/>
        <v>0</v>
      </c>
      <c r="L188" s="50"/>
    </row>
    <row r="189" spans="1:12" x14ac:dyDescent="0.3">
      <c r="A189" s="97">
        <v>41791</v>
      </c>
      <c r="B189" s="91">
        <f>7791563643.7/(10^9)</f>
        <v>7.7915636437</v>
      </c>
      <c r="C189" s="91">
        <f>447829851889.13/(10^9)</f>
        <v>447.82985188913</v>
      </c>
      <c r="D189" s="91">
        <f>65920255805.35/(10^9)</f>
        <v>65.920255805349996</v>
      </c>
      <c r="E189" s="3">
        <f t="shared" si="14"/>
        <v>429.76811723149581</v>
      </c>
      <c r="F189" s="3">
        <f t="shared" si="14"/>
        <v>62.520616266858347</v>
      </c>
      <c r="G189" s="98">
        <f t="shared" si="9"/>
        <v>1.8129692109065998</v>
      </c>
      <c r="H189" s="42">
        <f t="shared" si="10"/>
        <v>12.462390982269063</v>
      </c>
      <c r="I189" s="3">
        <f t="shared" si="12"/>
        <v>1.9379764437467331</v>
      </c>
      <c r="J189" s="3">
        <f t="shared" si="13"/>
        <v>13.679137989445179</v>
      </c>
      <c r="K189" s="48" t="b">
        <f t="shared" si="11"/>
        <v>0</v>
      </c>
      <c r="L189" s="50"/>
    </row>
    <row r="190" spans="1:12" x14ac:dyDescent="0.3">
      <c r="A190" s="97">
        <v>41821</v>
      </c>
      <c r="B190" s="91">
        <f>7754722017.23/(10^9)</f>
        <v>7.7547220172299998</v>
      </c>
      <c r="C190" s="91">
        <f>449120998253.39/(10^9)</f>
        <v>449.12099825339004</v>
      </c>
      <c r="D190" s="91">
        <f>66562155739.61/(10^9)</f>
        <v>66.562155739610006</v>
      </c>
      <c r="E190" s="3">
        <f t="shared" si="14"/>
        <v>433.47951312936834</v>
      </c>
      <c r="F190" s="3">
        <f t="shared" si="14"/>
        <v>63.394589481945843</v>
      </c>
      <c r="G190" s="98">
        <f t="shared" si="9"/>
        <v>1.7889477547040771</v>
      </c>
      <c r="H190" s="42">
        <f t="shared" si="10"/>
        <v>12.232466651493134</v>
      </c>
      <c r="I190" s="3">
        <f t="shared" si="12"/>
        <v>1.9379764437467331</v>
      </c>
      <c r="J190" s="3">
        <f t="shared" si="13"/>
        <v>13.679137989445179</v>
      </c>
      <c r="K190" s="48" t="b">
        <f t="shared" si="11"/>
        <v>0</v>
      </c>
      <c r="L190" s="50"/>
    </row>
    <row r="191" spans="1:12" x14ac:dyDescent="0.3">
      <c r="A191" s="97">
        <v>41852</v>
      </c>
      <c r="B191" s="91">
        <f>7797448452.78188/(10^9)</f>
        <v>7.7974484527818806</v>
      </c>
      <c r="C191" s="91">
        <f>456336777726.193/(10^9)</f>
        <v>456.33677772619302</v>
      </c>
      <c r="D191" s="91">
        <f>67553852858.2027/(10^9)</f>
        <v>67.553852858202703</v>
      </c>
      <c r="E191" s="3">
        <f t="shared" si="14"/>
        <v>437.24838513452852</v>
      </c>
      <c r="F191" s="3">
        <f t="shared" si="14"/>
        <v>64.124921789732738</v>
      </c>
      <c r="G191" s="98">
        <f t="shared" si="9"/>
        <v>1.7832995427491023</v>
      </c>
      <c r="H191" s="42">
        <f t="shared" si="10"/>
        <v>12.159778499769425</v>
      </c>
      <c r="I191" s="3">
        <f t="shared" si="12"/>
        <v>1.9379764437467331</v>
      </c>
      <c r="J191" s="3">
        <f t="shared" si="13"/>
        <v>13.679137989445179</v>
      </c>
      <c r="K191" s="48" t="b">
        <f t="shared" si="11"/>
        <v>0</v>
      </c>
      <c r="L191" s="50"/>
    </row>
    <row r="192" spans="1:12" x14ac:dyDescent="0.3">
      <c r="A192" s="97">
        <v>41883</v>
      </c>
      <c r="B192" s="91">
        <f>7909379785.46/(10^9)</f>
        <v>7.9093797854599996</v>
      </c>
      <c r="C192" s="91">
        <f>458040206870.8/(10^9)</f>
        <v>458.04020687079998</v>
      </c>
      <c r="D192" s="91">
        <f>67681890387.33/(10^9)</f>
        <v>67.68189038733</v>
      </c>
      <c r="E192" s="3">
        <f t="shared" si="14"/>
        <v>440.88851174146021</v>
      </c>
      <c r="F192" s="3">
        <f t="shared" si="14"/>
        <v>64.802002628032739</v>
      </c>
      <c r="G192" s="98">
        <f t="shared" si="9"/>
        <v>1.7939636835214501</v>
      </c>
      <c r="H192" s="42">
        <f t="shared" si="10"/>
        <v>12.205455795649248</v>
      </c>
      <c r="I192" s="3">
        <f t="shared" si="12"/>
        <v>1.9379764437467331</v>
      </c>
      <c r="J192" s="3">
        <f t="shared" si="13"/>
        <v>13.679137989445179</v>
      </c>
      <c r="K192" s="48" t="b">
        <f t="shared" si="11"/>
        <v>0</v>
      </c>
      <c r="L192" s="50"/>
    </row>
    <row r="193" spans="1:12" x14ac:dyDescent="0.3">
      <c r="A193" s="97">
        <v>41913</v>
      </c>
      <c r="B193" s="91">
        <f>8064548064.15/(10^9)</f>
        <v>8.0645480641499994</v>
      </c>
      <c r="C193" s="91">
        <f>464656010975.33/(10^9)</f>
        <v>464.65601097532999</v>
      </c>
      <c r="D193" s="91">
        <f>68410297213.9/(10^9)</f>
        <v>68.410297213899995</v>
      </c>
      <c r="E193" s="3">
        <f t="shared" si="14"/>
        <v>444.57167209344107</v>
      </c>
      <c r="F193" s="3">
        <f t="shared" si="14"/>
        <v>65.440521873173566</v>
      </c>
      <c r="G193" s="98">
        <f t="shared" si="9"/>
        <v>1.8140040336296945</v>
      </c>
      <c r="H193" s="42">
        <f t="shared" si="10"/>
        <v>12.32347761495458</v>
      </c>
      <c r="I193" s="3">
        <f t="shared" si="12"/>
        <v>1.9379764437467331</v>
      </c>
      <c r="J193" s="3">
        <f t="shared" si="13"/>
        <v>13.679137989445179</v>
      </c>
      <c r="K193" s="48" t="b">
        <f t="shared" si="11"/>
        <v>0</v>
      </c>
      <c r="L193" s="50"/>
    </row>
    <row r="194" spans="1:12" x14ac:dyDescent="0.3">
      <c r="A194" s="97">
        <v>41944</v>
      </c>
      <c r="B194" s="91">
        <f>8015058869.61001/(10^9)</f>
        <v>8.0150588696100105</v>
      </c>
      <c r="C194" s="91">
        <f>478840696044.12/(10^9)</f>
        <v>478.84069604412002</v>
      </c>
      <c r="D194" s="91">
        <f>70815649743.45/(10^9)</f>
        <v>70.815649743449995</v>
      </c>
      <c r="E194" s="3">
        <f t="shared" si="14"/>
        <v>448.98727590805771</v>
      </c>
      <c r="F194" s="3">
        <f t="shared" si="14"/>
        <v>66.225923718352718</v>
      </c>
      <c r="G194" s="98">
        <f t="shared" si="9"/>
        <v>1.7851416509298386</v>
      </c>
      <c r="H194" s="42">
        <f t="shared" si="10"/>
        <v>12.102600340761807</v>
      </c>
      <c r="I194" s="3">
        <f t="shared" si="12"/>
        <v>1.9379764437467331</v>
      </c>
      <c r="J194" s="3">
        <f t="shared" si="13"/>
        <v>13.679137989445179</v>
      </c>
      <c r="K194" s="48" t="b">
        <f t="shared" si="11"/>
        <v>0</v>
      </c>
      <c r="L194" s="50"/>
    </row>
    <row r="195" spans="1:12" x14ac:dyDescent="0.3">
      <c r="A195" s="97">
        <f t="shared" ref="A195:A232" si="15">+DATE(YEAR(A194),MONTH(A194)+1,1)</f>
        <v>41974</v>
      </c>
      <c r="B195" s="91">
        <f>8831334808.89/(10^9)</f>
        <v>8.8313348088899986</v>
      </c>
      <c r="C195" s="91">
        <f>480861128290.95/(10^9)</f>
        <v>480.86112829095003</v>
      </c>
      <c r="D195" s="91">
        <f>71590749689.19/(10^9)</f>
        <v>71.590749689190005</v>
      </c>
      <c r="E195" s="3">
        <f t="shared" si="14"/>
        <v>453.41088992740265</v>
      </c>
      <c r="F195" s="3">
        <f t="shared" si="14"/>
        <v>66.939031782352728</v>
      </c>
      <c r="G195" s="98">
        <f t="shared" ref="G195:G232" si="16">+B195/E195*100</f>
        <v>1.9477553373947452</v>
      </c>
      <c r="H195" s="42">
        <f t="shared" ref="H195:H232" si="17">B195/F195*100</f>
        <v>13.193102101632462</v>
      </c>
      <c r="I195" s="3">
        <f t="shared" si="12"/>
        <v>1.9379764437467331</v>
      </c>
      <c r="J195" s="3">
        <f t="shared" si="13"/>
        <v>13.679137989445179</v>
      </c>
      <c r="K195" s="48" t="b">
        <f t="shared" ref="K195:K230" si="18">+G195&lt;$G$231</f>
        <v>0</v>
      </c>
      <c r="L195" s="50"/>
    </row>
    <row r="196" spans="1:12" x14ac:dyDescent="0.3">
      <c r="A196" s="97">
        <f t="shared" si="15"/>
        <v>42005</v>
      </c>
      <c r="B196" s="91">
        <f>9037152821.48228/(10^9)</f>
        <v>9.0371528214822803</v>
      </c>
      <c r="C196" s="91">
        <f>488587358344.12/(10^9)</f>
        <v>488.58735834411999</v>
      </c>
      <c r="D196" s="91">
        <f>68230410157.2205/(10^9)</f>
        <v>68.230410157220504</v>
      </c>
      <c r="E196" s="3">
        <f t="shared" si="14"/>
        <v>458.4528559496527</v>
      </c>
      <c r="F196" s="3">
        <f t="shared" si="14"/>
        <v>67.382184458994431</v>
      </c>
      <c r="G196" s="98">
        <f t="shared" si="16"/>
        <v>1.9712283835079305</v>
      </c>
      <c r="H196" s="42">
        <f t="shared" si="17"/>
        <v>13.411783684427533</v>
      </c>
      <c r="I196" s="3">
        <f t="shared" si="12"/>
        <v>1.9379764437467331</v>
      </c>
      <c r="J196" s="3">
        <f t="shared" si="13"/>
        <v>13.679137989445179</v>
      </c>
      <c r="K196" s="48" t="b">
        <f t="shared" si="18"/>
        <v>0</v>
      </c>
      <c r="L196" s="50"/>
    </row>
    <row r="197" spans="1:12" x14ac:dyDescent="0.3">
      <c r="A197" s="97">
        <f t="shared" si="15"/>
        <v>42036</v>
      </c>
      <c r="B197" s="91">
        <f>9442122117.99249/(10^9)</f>
        <v>9.4421221179924899</v>
      </c>
      <c r="C197" s="91">
        <f>498136243355.197/(10^9)</f>
        <v>498.136243355197</v>
      </c>
      <c r="D197" s="91">
        <f>70070845860.3509/(10^9)</f>
        <v>70.0708458603509</v>
      </c>
      <c r="E197" s="3">
        <f t="shared" si="14"/>
        <v>463.32731333843157</v>
      </c>
      <c r="F197" s="3">
        <f t="shared" si="14"/>
        <v>67.942378581453681</v>
      </c>
      <c r="G197" s="98">
        <f t="shared" si="16"/>
        <v>2.0378945609657189</v>
      </c>
      <c r="H197" s="42">
        <f t="shared" si="17"/>
        <v>13.897249868390563</v>
      </c>
      <c r="I197" s="3">
        <f t="shared" si="12"/>
        <v>1.9379764437467331</v>
      </c>
      <c r="J197" s="3">
        <f t="shared" si="13"/>
        <v>13.679137989445179</v>
      </c>
      <c r="K197" s="48" t="b">
        <f t="shared" si="18"/>
        <v>0</v>
      </c>
      <c r="L197" s="50"/>
    </row>
    <row r="198" spans="1:12" x14ac:dyDescent="0.3">
      <c r="A198" s="97">
        <f t="shared" si="15"/>
        <v>42064</v>
      </c>
      <c r="B198" s="91">
        <f>9440148076.1468/(10^9)</f>
        <v>9.4401480761467997</v>
      </c>
      <c r="C198" s="91">
        <f>503519536444.722/(10^9)</f>
        <v>503.51953644472201</v>
      </c>
      <c r="D198" s="91">
        <f>69639033849.7175/(10^9)</f>
        <v>69.639033849717492</v>
      </c>
      <c r="E198" s="3">
        <f t="shared" si="14"/>
        <v>468.3194141374434</v>
      </c>
      <c r="F198" s="3">
        <f t="shared" si="14"/>
        <v>68.289218169589304</v>
      </c>
      <c r="G198" s="98">
        <f t="shared" si="16"/>
        <v>2.0157498901756576</v>
      </c>
      <c r="H198" s="42">
        <f t="shared" si="17"/>
        <v>13.823775303303599</v>
      </c>
      <c r="I198" s="3">
        <f t="shared" si="12"/>
        <v>1.9379764437467331</v>
      </c>
      <c r="J198" s="3">
        <f t="shared" si="13"/>
        <v>13.679137989445179</v>
      </c>
      <c r="K198" s="48" t="b">
        <f t="shared" si="18"/>
        <v>0</v>
      </c>
      <c r="L198" s="50"/>
    </row>
    <row r="199" spans="1:12" x14ac:dyDescent="0.3">
      <c r="A199" s="97">
        <f t="shared" si="15"/>
        <v>42095</v>
      </c>
      <c r="B199" s="91">
        <f>9916660309.49428/(10^9)</f>
        <v>9.9166603094942793</v>
      </c>
      <c r="C199" s="91">
        <f>506089205758.791/(10^9)</f>
        <v>506.08920575879102</v>
      </c>
      <c r="D199" s="91">
        <f>71260635543.071/(10^9)</f>
        <v>71.260635543071004</v>
      </c>
      <c r="E199" s="3">
        <f t="shared" si="14"/>
        <v>473.2149489783294</v>
      </c>
      <c r="F199" s="3">
        <f t="shared" si="14"/>
        <v>68.717094402921887</v>
      </c>
      <c r="G199" s="98">
        <f t="shared" si="16"/>
        <v>2.0955932036602687</v>
      </c>
      <c r="H199" s="42">
        <f t="shared" si="17"/>
        <v>14.431140308913612</v>
      </c>
      <c r="I199" s="3">
        <f t="shared" si="12"/>
        <v>1.9379764437467331</v>
      </c>
      <c r="J199" s="3">
        <f t="shared" si="13"/>
        <v>13.679137989445179</v>
      </c>
      <c r="K199" s="48" t="b">
        <f t="shared" si="18"/>
        <v>0</v>
      </c>
      <c r="L199" s="50"/>
    </row>
    <row r="200" spans="1:12" x14ac:dyDescent="0.3">
      <c r="A200" s="97">
        <f t="shared" si="15"/>
        <v>42125</v>
      </c>
      <c r="B200" s="91">
        <f>10190022017.1652/(10^9)</f>
        <v>10.1900220171652</v>
      </c>
      <c r="C200" s="91">
        <f>508174332954.7/(10^9)</f>
        <v>508.17433295469999</v>
      </c>
      <c r="D200" s="91">
        <f>71110561305.3543/(10^9)</f>
        <v>71.110561305354295</v>
      </c>
      <c r="E200" s="3">
        <f t="shared" si="14"/>
        <v>478.34936224228687</v>
      </c>
      <c r="F200" s="3">
        <f t="shared" si="14"/>
        <v>69.070528179395566</v>
      </c>
      <c r="G200" s="98">
        <f t="shared" si="16"/>
        <v>2.1302468073541387</v>
      </c>
      <c r="H200" s="42">
        <f t="shared" si="17"/>
        <v>14.753068038945424</v>
      </c>
      <c r="I200" s="3">
        <f t="shared" si="12"/>
        <v>1.9379764437467331</v>
      </c>
      <c r="J200" s="3">
        <f t="shared" si="13"/>
        <v>13.679137989445179</v>
      </c>
      <c r="K200" s="48" t="b">
        <f t="shared" si="18"/>
        <v>0</v>
      </c>
      <c r="L200" s="50"/>
    </row>
    <row r="201" spans="1:12" x14ac:dyDescent="0.3">
      <c r="A201" s="97">
        <f t="shared" si="15"/>
        <v>42156</v>
      </c>
      <c r="B201" s="91">
        <f>10271857257.9559/(10^9)</f>
        <v>10.271857257955901</v>
      </c>
      <c r="C201" s="91">
        <f>511814402460.987/(10^9)</f>
        <v>511.81440246098703</v>
      </c>
      <c r="D201" s="91">
        <f>72209220774.1051/(10^9)</f>
        <v>72.209220774105106</v>
      </c>
      <c r="E201" s="3">
        <f>+AVERAGE(C190:C201)</f>
        <v>483.68140812327505</v>
      </c>
      <c r="F201" s="3">
        <f t="shared" si="14"/>
        <v>69.594608593458503</v>
      </c>
      <c r="G201" s="98">
        <f>+B201/E201*100</f>
        <v>2.1236824664837917</v>
      </c>
      <c r="H201" s="42">
        <f t="shared" si="17"/>
        <v>14.759558916351741</v>
      </c>
      <c r="I201" s="3">
        <f t="shared" si="12"/>
        <v>1.9379764437467331</v>
      </c>
      <c r="J201" s="3">
        <f t="shared" si="13"/>
        <v>13.679137989445179</v>
      </c>
      <c r="K201" s="48" t="b">
        <f t="shared" si="18"/>
        <v>0</v>
      </c>
      <c r="L201" s="50"/>
    </row>
    <row r="202" spans="1:12" x14ac:dyDescent="0.3">
      <c r="A202" s="97">
        <f t="shared" si="15"/>
        <v>42186</v>
      </c>
      <c r="B202" s="91">
        <f>10542887861.8744/(10^9)</f>
        <v>10.5428878618744</v>
      </c>
      <c r="C202" s="91">
        <f>522655824273.25/(10^9)</f>
        <v>522.65582427325</v>
      </c>
      <c r="D202" s="91">
        <f>73231734958.7802/(10^9)</f>
        <v>73.231734958780194</v>
      </c>
      <c r="E202" s="3">
        <f t="shared" si="14"/>
        <v>489.80931029159666</v>
      </c>
      <c r="F202" s="3">
        <f t="shared" si="14"/>
        <v>70.150406861722686</v>
      </c>
      <c r="G202" s="98">
        <f t="shared" si="16"/>
        <v>2.1524474199148922</v>
      </c>
      <c r="H202" s="42">
        <f t="shared" si="17"/>
        <v>15.028976072307126</v>
      </c>
      <c r="I202" s="3">
        <f t="shared" si="12"/>
        <v>1.9379764437467331</v>
      </c>
      <c r="J202" s="3">
        <f t="shared" si="13"/>
        <v>13.679137989445179</v>
      </c>
      <c r="K202" s="48" t="b">
        <f t="shared" si="18"/>
        <v>0</v>
      </c>
      <c r="L202" s="50"/>
    </row>
    <row r="203" spans="1:12" x14ac:dyDescent="0.3">
      <c r="A203" s="97">
        <f t="shared" si="15"/>
        <v>42217</v>
      </c>
      <c r="B203" s="91">
        <f>10793539389.5403/(10^9)</f>
        <v>10.7935393895403</v>
      </c>
      <c r="C203" s="91">
        <f>536479057577.692/(10^9)</f>
        <v>536.47905757769206</v>
      </c>
      <c r="D203" s="91">
        <f>73744302513.2588/(10^9)</f>
        <v>73.744302513258802</v>
      </c>
      <c r="E203" s="3">
        <f t="shared" si="14"/>
        <v>496.48783361255505</v>
      </c>
      <c r="F203" s="3">
        <f t="shared" si="14"/>
        <v>70.666277666310691</v>
      </c>
      <c r="G203" s="98">
        <f t="shared" si="16"/>
        <v>2.1739786272312305</v>
      </c>
      <c r="H203" s="42">
        <f t="shared" si="17"/>
        <v>15.273960573539577</v>
      </c>
      <c r="I203" s="3">
        <f t="shared" si="12"/>
        <v>1.9379764437467331</v>
      </c>
      <c r="J203" s="3">
        <f t="shared" si="13"/>
        <v>13.679137989445179</v>
      </c>
      <c r="K203" s="48" t="b">
        <f t="shared" si="18"/>
        <v>0</v>
      </c>
      <c r="L203" s="50"/>
    </row>
    <row r="204" spans="1:12" x14ac:dyDescent="0.3">
      <c r="A204" s="97">
        <f t="shared" si="15"/>
        <v>42248</v>
      </c>
      <c r="B204" s="91">
        <f>10966445171.9113/(10^9)</f>
        <v>10.966445171911301</v>
      </c>
      <c r="C204" s="91">
        <f>536738140332.038/(10^9)</f>
        <v>536.73814033203803</v>
      </c>
      <c r="D204" s="91">
        <f>74572027563.9513/(10^9)</f>
        <v>74.572027563951295</v>
      </c>
      <c r="E204" s="3">
        <f t="shared" si="14"/>
        <v>503.04599473432478</v>
      </c>
      <c r="F204" s="3">
        <f t="shared" si="14"/>
        <v>71.240455764362466</v>
      </c>
      <c r="G204" s="98">
        <f t="shared" si="16"/>
        <v>2.1800084458883413</v>
      </c>
      <c r="H204" s="42">
        <f t="shared" si="17"/>
        <v>15.393564027979153</v>
      </c>
      <c r="I204" s="3">
        <f t="shared" si="12"/>
        <v>1.9379764437467331</v>
      </c>
      <c r="J204" s="3">
        <f t="shared" si="13"/>
        <v>13.679137989445179</v>
      </c>
      <c r="K204" s="48" t="b">
        <f t="shared" si="18"/>
        <v>0</v>
      </c>
      <c r="L204" s="50"/>
    </row>
    <row r="205" spans="1:12" x14ac:dyDescent="0.3">
      <c r="A205" s="97">
        <f t="shared" si="15"/>
        <v>42278</v>
      </c>
      <c r="B205" s="91">
        <f>11122918039.9151/(10^9)</f>
        <v>11.122918039915101</v>
      </c>
      <c r="C205" s="91">
        <f>540451383239.562/(10^9)</f>
        <v>540.45138323956201</v>
      </c>
      <c r="D205" s="91">
        <f>75929852510.4475/(10^9)</f>
        <v>75.929852510447489</v>
      </c>
      <c r="E205" s="3">
        <f t="shared" si="14"/>
        <v>509.36227575634416</v>
      </c>
      <c r="F205" s="3">
        <f t="shared" si="14"/>
        <v>71.867085372408098</v>
      </c>
      <c r="G205" s="98">
        <f t="shared" si="16"/>
        <v>2.1836949003337267</v>
      </c>
      <c r="H205" s="42">
        <f t="shared" si="17"/>
        <v>15.477068510956363</v>
      </c>
      <c r="I205" s="3">
        <f t="shared" si="12"/>
        <v>1.9379764437467331</v>
      </c>
      <c r="J205" s="3">
        <f t="shared" si="13"/>
        <v>13.679137989445179</v>
      </c>
      <c r="K205" s="48" t="b">
        <f t="shared" si="18"/>
        <v>0</v>
      </c>
      <c r="L205" s="50"/>
    </row>
    <row r="206" spans="1:12" x14ac:dyDescent="0.3">
      <c r="A206" s="97">
        <f t="shared" si="15"/>
        <v>42309</v>
      </c>
      <c r="B206" s="91">
        <f>11398356322.8982/(10^9)</f>
        <v>11.398356322898199</v>
      </c>
      <c r="C206" s="91">
        <f>547814793268.064/(10^9)</f>
        <v>547.81479326806402</v>
      </c>
      <c r="D206" s="91">
        <f>75082167893.1808/(10^9)</f>
        <v>75.082167893180795</v>
      </c>
      <c r="E206" s="3">
        <f t="shared" si="14"/>
        <v>515.11011719167277</v>
      </c>
      <c r="F206" s="3">
        <f t="shared" si="14"/>
        <v>72.222628551552333</v>
      </c>
      <c r="G206" s="98">
        <f t="shared" si="16"/>
        <v>2.2127999319914085</v>
      </c>
      <c r="H206" s="42">
        <f t="shared" si="17"/>
        <v>15.782250731517033</v>
      </c>
      <c r="I206" s="3">
        <f t="shared" si="12"/>
        <v>1.9379764437467331</v>
      </c>
      <c r="J206" s="3">
        <f t="shared" si="13"/>
        <v>13.679137989445179</v>
      </c>
      <c r="K206" s="48" t="b">
        <f t="shared" si="18"/>
        <v>0</v>
      </c>
      <c r="L206" s="50"/>
    </row>
    <row r="207" spans="1:12" x14ac:dyDescent="0.3">
      <c r="A207" s="97">
        <f t="shared" si="15"/>
        <v>42339</v>
      </c>
      <c r="B207" s="91">
        <f>10662221890.6956/(10^9)</f>
        <v>10.6622218906956</v>
      </c>
      <c r="C207" s="91">
        <f>550376715321.629/(10^9)</f>
        <v>550.37671532162904</v>
      </c>
      <c r="D207" s="91">
        <f>76672272400.4282/(10^9)</f>
        <v>76.672272400428213</v>
      </c>
      <c r="E207" s="3">
        <f t="shared" si="14"/>
        <v>520.90308277756264</v>
      </c>
      <c r="F207" s="3">
        <f t="shared" si="14"/>
        <v>72.646088777488856</v>
      </c>
      <c r="G207" s="98">
        <f t="shared" si="16"/>
        <v>2.046872488034134</v>
      </c>
      <c r="H207" s="42">
        <f t="shared" si="17"/>
        <v>14.676938662662794</v>
      </c>
      <c r="I207" s="3">
        <f t="shared" si="12"/>
        <v>1.9379764437467331</v>
      </c>
      <c r="J207" s="3">
        <f t="shared" si="13"/>
        <v>13.679137989445179</v>
      </c>
      <c r="K207" s="48" t="b">
        <f t="shared" si="18"/>
        <v>0</v>
      </c>
      <c r="L207" s="50"/>
    </row>
    <row r="208" spans="1:12" x14ac:dyDescent="0.3">
      <c r="A208" s="97">
        <f t="shared" si="15"/>
        <v>42370</v>
      </c>
      <c r="B208" s="91">
        <f>10635108924.2383/(10^9)</f>
        <v>10.635108924238301</v>
      </c>
      <c r="C208" s="91">
        <f>552365207445.549/(10^9)</f>
        <v>552.365207445549</v>
      </c>
      <c r="D208" s="91">
        <f>77727975715.9108/(10^9)</f>
        <v>77.727975715910802</v>
      </c>
      <c r="E208" s="3">
        <f t="shared" ref="E208:F223" si="19">+AVERAGE(C197:C208)</f>
        <v>526.21790353601511</v>
      </c>
      <c r="F208" s="3">
        <f t="shared" si="19"/>
        <v>73.437552574046364</v>
      </c>
      <c r="G208" s="98">
        <f t="shared" si="16"/>
        <v>2.0210465764797791</v>
      </c>
      <c r="H208" s="42">
        <f t="shared" si="17"/>
        <v>14.481840082449676</v>
      </c>
      <c r="I208" s="3">
        <f t="shared" si="12"/>
        <v>1.9379764437467331</v>
      </c>
      <c r="J208" s="3">
        <f t="shared" si="13"/>
        <v>13.679137989445179</v>
      </c>
      <c r="K208" s="48" t="b">
        <f t="shared" si="18"/>
        <v>0</v>
      </c>
      <c r="L208" s="50"/>
    </row>
    <row r="209" spans="1:13" x14ac:dyDescent="0.3">
      <c r="A209" s="97">
        <f t="shared" si="15"/>
        <v>42401</v>
      </c>
      <c r="B209" s="91">
        <f>10640290859.7334/(10^9)</f>
        <v>10.640290859733401</v>
      </c>
      <c r="C209" s="91">
        <f>563383302799.98/(10^9)</f>
        <v>563.38330279998002</v>
      </c>
      <c r="D209" s="91">
        <f>79499415412.5736/(10^9)</f>
        <v>79.499415412573597</v>
      </c>
      <c r="E209" s="3">
        <f t="shared" si="19"/>
        <v>531.65515848974712</v>
      </c>
      <c r="F209" s="3">
        <f t="shared" si="19"/>
        <v>74.223266703398266</v>
      </c>
      <c r="G209" s="98">
        <f t="shared" si="16"/>
        <v>2.0013519458663538</v>
      </c>
      <c r="H209" s="42">
        <f t="shared" si="17"/>
        <v>14.335519483739242</v>
      </c>
      <c r="I209" s="3">
        <f t="shared" si="12"/>
        <v>1.9379764437467331</v>
      </c>
      <c r="J209" s="3">
        <f t="shared" si="13"/>
        <v>13.679137989445179</v>
      </c>
      <c r="K209" s="48" t="b">
        <f t="shared" si="18"/>
        <v>0</v>
      </c>
      <c r="L209" s="50"/>
    </row>
    <row r="210" spans="1:13" x14ac:dyDescent="0.3">
      <c r="A210" s="97">
        <f t="shared" si="15"/>
        <v>42430</v>
      </c>
      <c r="B210" s="91">
        <f>10337847034.8345/(10^9)</f>
        <v>10.3378470348345</v>
      </c>
      <c r="C210" s="91">
        <f>563783360630.152/(10^9)</f>
        <v>563.78336063015195</v>
      </c>
      <c r="D210" s="91">
        <f>78528605744.2509/(10^9)</f>
        <v>78.528605744250896</v>
      </c>
      <c r="E210" s="3">
        <f t="shared" si="19"/>
        <v>536.67714383853286</v>
      </c>
      <c r="F210" s="3">
        <f t="shared" si="19"/>
        <v>74.964064361276044</v>
      </c>
      <c r="G210" s="98">
        <f t="shared" si="16"/>
        <v>1.9262692949608438</v>
      </c>
      <c r="H210" s="42">
        <f t="shared" si="17"/>
        <v>13.790403605937207</v>
      </c>
      <c r="I210" s="3">
        <f t="shared" si="12"/>
        <v>1.9379764437467331</v>
      </c>
      <c r="J210" s="3">
        <f t="shared" si="13"/>
        <v>13.679137989445179</v>
      </c>
      <c r="K210" s="48" t="b">
        <f t="shared" si="18"/>
        <v>0</v>
      </c>
      <c r="L210" s="50"/>
    </row>
    <row r="211" spans="1:13" x14ac:dyDescent="0.3">
      <c r="A211" s="97">
        <f t="shared" si="15"/>
        <v>42461</v>
      </c>
      <c r="B211" s="91">
        <f>10102181562.1189/(10^9)</f>
        <v>10.102181562118901</v>
      </c>
      <c r="C211" s="91">
        <f>567759847141.022/(10^9)</f>
        <v>567.75984714102196</v>
      </c>
      <c r="D211" s="91">
        <f>77922720358.8279/(10^9)</f>
        <v>77.922720358827902</v>
      </c>
      <c r="E211" s="3">
        <f t="shared" si="19"/>
        <v>541.81636395371868</v>
      </c>
      <c r="F211" s="3">
        <f t="shared" si="19"/>
        <v>75.519238095922447</v>
      </c>
      <c r="G211" s="98">
        <f t="shared" si="16"/>
        <v>1.8645028526642686</v>
      </c>
      <c r="H211" s="42">
        <f t="shared" si="17"/>
        <v>13.376964356138485</v>
      </c>
      <c r="I211" s="3">
        <f t="shared" si="12"/>
        <v>1.9379764437467331</v>
      </c>
      <c r="J211" s="3">
        <f t="shared" si="13"/>
        <v>13.679137989445179</v>
      </c>
      <c r="K211" s="48" t="b">
        <f t="shared" si="18"/>
        <v>0</v>
      </c>
      <c r="L211" s="50"/>
    </row>
    <row r="212" spans="1:13" x14ac:dyDescent="0.3">
      <c r="A212" s="97">
        <f t="shared" si="15"/>
        <v>42491</v>
      </c>
      <c r="B212" s="91">
        <f>10236799118.8228/(10^9)</f>
        <v>10.2367991188228</v>
      </c>
      <c r="C212" s="91">
        <f>570838027892.579/(10^9)</f>
        <v>570.83802789257902</v>
      </c>
      <c r="D212" s="91">
        <f>78286320234.9265/(10^9)</f>
        <v>78.286320234926492</v>
      </c>
      <c r="E212" s="3">
        <f t="shared" si="19"/>
        <v>547.03833853187541</v>
      </c>
      <c r="F212" s="3">
        <f t="shared" si="19"/>
        <v>76.117218006720137</v>
      </c>
      <c r="G212" s="98">
        <f t="shared" si="16"/>
        <v>1.8713129222891405</v>
      </c>
      <c r="H212" s="42">
        <f t="shared" si="17"/>
        <v>13.448729981065554</v>
      </c>
      <c r="I212" s="3">
        <f t="shared" si="12"/>
        <v>1.9379764437467331</v>
      </c>
      <c r="J212" s="3">
        <f t="shared" si="13"/>
        <v>13.679137989445179</v>
      </c>
      <c r="K212" s="48" t="b">
        <f t="shared" si="18"/>
        <v>0</v>
      </c>
      <c r="L212" s="50"/>
    </row>
    <row r="213" spans="1:13" s="48" customFormat="1" x14ac:dyDescent="0.3">
      <c r="A213" s="104">
        <f t="shared" si="15"/>
        <v>42522</v>
      </c>
      <c r="B213" s="91">
        <f>12714145616.6566/(10^9)</f>
        <v>12.714145616656602</v>
      </c>
      <c r="C213" s="91">
        <f>565889988471.772/(10^9)</f>
        <v>565.88998847177197</v>
      </c>
      <c r="D213" s="91">
        <f>78465087417.9238/(10^9)</f>
        <v>78.465087417923797</v>
      </c>
      <c r="E213" s="82">
        <f t="shared" si="19"/>
        <v>551.54463736610739</v>
      </c>
      <c r="F213" s="82">
        <f t="shared" si="19"/>
        <v>76.638540227038348</v>
      </c>
      <c r="G213" s="98">
        <f t="shared" si="16"/>
        <v>2.3051888741721434</v>
      </c>
      <c r="H213" s="42">
        <f t="shared" si="17"/>
        <v>16.589754422502693</v>
      </c>
      <c r="I213" s="3">
        <f t="shared" si="12"/>
        <v>1.9379764437467331</v>
      </c>
      <c r="J213" s="3">
        <f t="shared" si="13"/>
        <v>13.679137989445179</v>
      </c>
      <c r="K213" s="48" t="b">
        <f t="shared" si="18"/>
        <v>0</v>
      </c>
      <c r="L213" s="105"/>
    </row>
    <row r="214" spans="1:13" s="48" customFormat="1" x14ac:dyDescent="0.3">
      <c r="A214" s="104">
        <f t="shared" si="15"/>
        <v>42552</v>
      </c>
      <c r="B214" s="91">
        <f>12551060071.3331/(10^9)</f>
        <v>12.551060071333099</v>
      </c>
      <c r="C214" s="91">
        <f>567780724220.431/(10^9)</f>
        <v>567.78072422043101</v>
      </c>
      <c r="D214" s="91">
        <f>78396960390.5704/(10^9)</f>
        <v>78.396960390570399</v>
      </c>
      <c r="E214" s="82">
        <f t="shared" si="19"/>
        <v>555.30504569503921</v>
      </c>
      <c r="F214" s="84">
        <f t="shared" si="19"/>
        <v>77.068975679687526</v>
      </c>
      <c r="G214" s="98">
        <f t="shared" si="16"/>
        <v>2.2602099816369856</v>
      </c>
      <c r="H214" s="42">
        <f t="shared" si="17"/>
        <v>16.285489667719933</v>
      </c>
      <c r="I214" s="3">
        <f t="shared" si="12"/>
        <v>1.9379764437467331</v>
      </c>
      <c r="J214" s="3">
        <f t="shared" si="13"/>
        <v>13.679137989445179</v>
      </c>
      <c r="K214" s="48" t="b">
        <f t="shared" si="18"/>
        <v>0</v>
      </c>
      <c r="L214" s="105"/>
      <c r="M214" s="106"/>
    </row>
    <row r="215" spans="1:13" s="48" customFormat="1" x14ac:dyDescent="0.3">
      <c r="A215" s="104">
        <f t="shared" si="15"/>
        <v>42583</v>
      </c>
      <c r="B215" s="91">
        <f>12444472574.9309/(10^9)</f>
        <v>12.4444725749309</v>
      </c>
      <c r="C215" s="91">
        <f>570729006184.043/(10^9)</f>
        <v>570.72900618404299</v>
      </c>
      <c r="D215" s="91">
        <f>79695112354.2097/(10^9)</f>
        <v>79.695112354209698</v>
      </c>
      <c r="E215" s="82">
        <f t="shared" si="19"/>
        <v>558.15920807890177</v>
      </c>
      <c r="F215" s="84">
        <f t="shared" si="19"/>
        <v>77.564876499766783</v>
      </c>
      <c r="G215" s="107">
        <f t="shared" si="16"/>
        <v>2.2295560827103191</v>
      </c>
      <c r="H215" s="108">
        <f t="shared" si="17"/>
        <v>16.043953315607119</v>
      </c>
      <c r="I215" s="3">
        <f t="shared" si="12"/>
        <v>1.9379764437467331</v>
      </c>
      <c r="J215" s="3">
        <f t="shared" si="13"/>
        <v>13.679137989445179</v>
      </c>
      <c r="K215" s="48" t="b">
        <f t="shared" si="18"/>
        <v>0</v>
      </c>
      <c r="L215" s="105"/>
    </row>
    <row r="216" spans="1:13" s="48" customFormat="1" x14ac:dyDescent="0.3">
      <c r="A216" s="104">
        <f t="shared" si="15"/>
        <v>42614</v>
      </c>
      <c r="B216" s="91">
        <f>12257172182.545/(10^9)</f>
        <v>12.257172182545</v>
      </c>
      <c r="C216" s="91">
        <f>571350410656.873/(10^9)</f>
        <v>571.35041065687301</v>
      </c>
      <c r="D216" s="91">
        <f>79546520207.491/(10^9)</f>
        <v>79.546520207491</v>
      </c>
      <c r="E216" s="82">
        <f t="shared" si="19"/>
        <v>561.04356393930459</v>
      </c>
      <c r="F216" s="84">
        <f t="shared" si="19"/>
        <v>77.979417553395095</v>
      </c>
      <c r="G216" s="98">
        <f t="shared" si="16"/>
        <v>2.1847095253143332</v>
      </c>
      <c r="H216" s="42">
        <f t="shared" si="17"/>
        <v>15.718471062126243</v>
      </c>
      <c r="I216" s="3">
        <f t="shared" si="12"/>
        <v>1.9379764437467331</v>
      </c>
      <c r="J216" s="3">
        <f t="shared" si="13"/>
        <v>13.679137989445179</v>
      </c>
      <c r="K216" s="48" t="b">
        <f t="shared" si="18"/>
        <v>0</v>
      </c>
      <c r="L216" s="105"/>
    </row>
    <row r="217" spans="1:13" s="48" customFormat="1" x14ac:dyDescent="0.3">
      <c r="A217" s="104">
        <f t="shared" si="15"/>
        <v>42644</v>
      </c>
      <c r="B217" s="91">
        <f>11863144565.5969/(10^9)</f>
        <v>11.863144565596901</v>
      </c>
      <c r="C217" s="91">
        <f>567269523811.547/(10^9)</f>
        <v>567.26952381154695</v>
      </c>
      <c r="D217" s="91">
        <f>77479219136.2914/(10^9)</f>
        <v>77.479219136291391</v>
      </c>
      <c r="E217" s="82">
        <f t="shared" si="19"/>
        <v>563.27840898697002</v>
      </c>
      <c r="F217" s="84">
        <f t="shared" si="19"/>
        <v>78.108531438882082</v>
      </c>
      <c r="G217" s="98">
        <f t="shared" si="16"/>
        <v>2.1060889919306889</v>
      </c>
      <c r="H217" s="42">
        <f t="shared" si="17"/>
        <v>15.188026643260482</v>
      </c>
      <c r="I217" s="3">
        <f t="shared" si="12"/>
        <v>1.9379764437467331</v>
      </c>
      <c r="J217" s="3">
        <f t="shared" si="13"/>
        <v>13.679137989445179</v>
      </c>
      <c r="K217" s="48" t="b">
        <f t="shared" si="18"/>
        <v>0</v>
      </c>
      <c r="L217" s="105"/>
    </row>
    <row r="218" spans="1:13" s="48" customFormat="1" x14ac:dyDescent="0.3">
      <c r="A218" s="104">
        <f t="shared" si="15"/>
        <v>42675</v>
      </c>
      <c r="B218" s="91">
        <f>11590247634.9635/(10^9)</f>
        <v>11.590247634963498</v>
      </c>
      <c r="C218" s="91">
        <f>579575067014.347/(10^9)</f>
        <v>579.57506701434704</v>
      </c>
      <c r="D218" s="91">
        <f>78187359333.7861/(10^9)</f>
        <v>78.187359333786105</v>
      </c>
      <c r="E218" s="82">
        <f t="shared" si="19"/>
        <v>565.92509846582686</v>
      </c>
      <c r="F218" s="84">
        <f t="shared" si="19"/>
        <v>78.367297392265854</v>
      </c>
      <c r="G218" s="98">
        <f t="shared" si="16"/>
        <v>2.0480179561542045</v>
      </c>
      <c r="H218" s="42">
        <f t="shared" si="17"/>
        <v>14.789648259718282</v>
      </c>
      <c r="I218" s="3">
        <f t="shared" si="12"/>
        <v>1.9379764437467331</v>
      </c>
      <c r="J218" s="3">
        <f t="shared" si="13"/>
        <v>13.679137989445179</v>
      </c>
      <c r="K218" s="48" t="b">
        <f t="shared" si="18"/>
        <v>0</v>
      </c>
      <c r="L218" s="105"/>
    </row>
    <row r="219" spans="1:13" s="48" customFormat="1" x14ac:dyDescent="0.3">
      <c r="A219" s="104">
        <f t="shared" si="15"/>
        <v>42705</v>
      </c>
      <c r="B219" s="91">
        <f>12538872010.9166/(10^9)</f>
        <v>12.538872010916599</v>
      </c>
      <c r="C219" s="91">
        <f>574636416948.565/(10^9)</f>
        <v>574.63641694856494</v>
      </c>
      <c r="D219" s="91">
        <f>80400460859.61/(10^9)</f>
        <v>80.400460859610007</v>
      </c>
      <c r="E219" s="82">
        <f t="shared" si="19"/>
        <v>567.94674026807161</v>
      </c>
      <c r="F219" s="84">
        <f t="shared" si="19"/>
        <v>78.677979763864343</v>
      </c>
      <c r="G219" s="98">
        <f t="shared" si="16"/>
        <v>2.2077549040950979</v>
      </c>
      <c r="H219" s="42">
        <f t="shared" si="17"/>
        <v>15.936952179694275</v>
      </c>
      <c r="I219" s="3">
        <f t="shared" si="12"/>
        <v>1.9379764437467331</v>
      </c>
      <c r="J219" s="3">
        <f t="shared" si="13"/>
        <v>13.679137989445179</v>
      </c>
      <c r="K219" s="48" t="b">
        <f t="shared" si="18"/>
        <v>0</v>
      </c>
      <c r="L219" s="105"/>
    </row>
    <row r="220" spans="1:13" s="48" customFormat="1" x14ac:dyDescent="0.3">
      <c r="A220" s="104">
        <f t="shared" si="15"/>
        <v>42736</v>
      </c>
      <c r="B220" s="91">
        <f>12624899678.3818/(10^9)</f>
        <v>12.6248996783818</v>
      </c>
      <c r="C220" s="91">
        <f>575720023232.306/(10^9)</f>
        <v>575.72002323230606</v>
      </c>
      <c r="D220" s="91">
        <f>80690280182.7648/(10^9)</f>
        <v>80.690280182764795</v>
      </c>
      <c r="E220" s="82">
        <f t="shared" si="19"/>
        <v>569.892974916968</v>
      </c>
      <c r="F220" s="84">
        <f t="shared" si="19"/>
        <v>78.924838469435514</v>
      </c>
      <c r="G220" s="98">
        <f t="shared" si="16"/>
        <v>2.2153106344610087</v>
      </c>
      <c r="H220" s="42">
        <f t="shared" si="17"/>
        <v>15.996104551130538</v>
      </c>
      <c r="I220" s="3">
        <f t="shared" si="12"/>
        <v>1.9379764437467331</v>
      </c>
      <c r="J220" s="3">
        <f t="shared" si="13"/>
        <v>13.679137989445179</v>
      </c>
      <c r="K220" s="48" t="b">
        <f t="shared" si="18"/>
        <v>0</v>
      </c>
      <c r="L220" s="105"/>
    </row>
    <row r="221" spans="1:13" s="48" customFormat="1" x14ac:dyDescent="0.3">
      <c r="A221" s="104">
        <f t="shared" si="15"/>
        <v>42767</v>
      </c>
      <c r="B221" s="91">
        <f>12174601413.9174/(10^9)</f>
        <v>12.174601413917401</v>
      </c>
      <c r="C221" s="91">
        <f>578519065236.827/(10^9)</f>
        <v>578.51906523682703</v>
      </c>
      <c r="D221" s="91">
        <f>80577053773.3425/(10^9)</f>
        <v>80.577053773342499</v>
      </c>
      <c r="E221" s="82">
        <f>+AVERAGE(C210:C221)</f>
        <v>571.15428845337203</v>
      </c>
      <c r="F221" s="84">
        <f t="shared" si="19"/>
        <v>79.014641666166256</v>
      </c>
      <c r="G221" s="107">
        <f t="shared" si="16"/>
        <v>2.131578394847562</v>
      </c>
      <c r="H221" s="108">
        <f t="shared" si="17"/>
        <v>15.408032178839223</v>
      </c>
      <c r="I221" s="3">
        <f t="shared" si="12"/>
        <v>1.9379764437467331</v>
      </c>
      <c r="J221" s="3">
        <f t="shared" si="13"/>
        <v>13.679137989445179</v>
      </c>
      <c r="K221" s="48" t="b">
        <f t="shared" si="18"/>
        <v>0</v>
      </c>
      <c r="L221" s="105"/>
    </row>
    <row r="222" spans="1:13" x14ac:dyDescent="0.3">
      <c r="A222" s="104">
        <f t="shared" si="15"/>
        <v>42795</v>
      </c>
      <c r="B222" s="91">
        <f>12128581178.4747/(10^9)</f>
        <v>12.1285811784747</v>
      </c>
      <c r="C222" s="91">
        <f>584405409883.199/(10^9)</f>
        <v>584.40540988319901</v>
      </c>
      <c r="D222" s="91">
        <f>78584550576.4531/(10^9)</f>
        <v>78.584550576453097</v>
      </c>
      <c r="E222" s="82">
        <f t="shared" ref="E222:F232" si="20">+AVERAGE(C211:C222)</f>
        <v>572.87279255779265</v>
      </c>
      <c r="F222" s="84">
        <f t="shared" si="19"/>
        <v>79.019303735516445</v>
      </c>
      <c r="G222" s="98">
        <f t="shared" si="16"/>
        <v>2.1171508467564624</v>
      </c>
      <c r="H222" s="42">
        <f t="shared" si="17"/>
        <v>15.348883886739845</v>
      </c>
      <c r="I222" s="3">
        <f t="shared" si="12"/>
        <v>1.9379764437467331</v>
      </c>
      <c r="J222" s="3">
        <f t="shared" si="13"/>
        <v>13.679137989445179</v>
      </c>
      <c r="K222" s="48" t="b">
        <f t="shared" si="18"/>
        <v>0</v>
      </c>
      <c r="L222" s="105"/>
    </row>
    <row r="223" spans="1:13" x14ac:dyDescent="0.3">
      <c r="A223" s="104">
        <f t="shared" si="15"/>
        <v>42826</v>
      </c>
      <c r="B223" s="91">
        <f>11996769453.9181/(10^9)</f>
        <v>11.9967694539181</v>
      </c>
      <c r="C223" s="91">
        <f>588181390821.345/(10^9)</f>
        <v>588.18139082134496</v>
      </c>
      <c r="D223" s="91">
        <f>79010009231.2557/(10^9)</f>
        <v>79.010009231255708</v>
      </c>
      <c r="E223" s="82">
        <f t="shared" si="20"/>
        <v>574.57458786448626</v>
      </c>
      <c r="F223" s="84">
        <f t="shared" si="19"/>
        <v>79.109911141552089</v>
      </c>
      <c r="G223" s="98">
        <f t="shared" si="16"/>
        <v>2.0879394437728847</v>
      </c>
      <c r="H223" s="42">
        <f t="shared" si="17"/>
        <v>15.164685790699689</v>
      </c>
      <c r="I223" s="3">
        <f t="shared" si="12"/>
        <v>1.9379764437467331</v>
      </c>
      <c r="J223" s="3">
        <f t="shared" si="13"/>
        <v>13.679137989445179</v>
      </c>
      <c r="K223" s="48" t="b">
        <f t="shared" si="18"/>
        <v>0</v>
      </c>
      <c r="L223" s="105"/>
    </row>
    <row r="224" spans="1:13" x14ac:dyDescent="0.3">
      <c r="A224" s="104">
        <f t="shared" si="15"/>
        <v>42856</v>
      </c>
      <c r="B224" s="91">
        <f>11621605354.0793/(10^9)</f>
        <v>11.6216053540793</v>
      </c>
      <c r="C224" s="91">
        <f>591546326424.869/(10^9)</f>
        <v>591.54632642486899</v>
      </c>
      <c r="D224" s="91">
        <f>79849414802.7122/(10^9)</f>
        <v>79.849414802712204</v>
      </c>
      <c r="E224" s="82">
        <f t="shared" si="20"/>
        <v>576.30027940884372</v>
      </c>
      <c r="F224" s="84">
        <f t="shared" si="20"/>
        <v>79.240169022200888</v>
      </c>
      <c r="G224" s="98">
        <f t="shared" si="16"/>
        <v>2.0165885336721492</v>
      </c>
      <c r="H224" s="42">
        <f t="shared" si="17"/>
        <v>14.666305609246303</v>
      </c>
      <c r="I224" s="3">
        <f t="shared" si="12"/>
        <v>1.9379764437467331</v>
      </c>
      <c r="J224" s="3">
        <f t="shared" si="13"/>
        <v>13.679137989445179</v>
      </c>
      <c r="K224" s="48" t="b">
        <f t="shared" si="18"/>
        <v>0</v>
      </c>
      <c r="L224" s="105"/>
    </row>
    <row r="225" spans="1:12" x14ac:dyDescent="0.3">
      <c r="A225" s="104">
        <f t="shared" si="15"/>
        <v>42887</v>
      </c>
      <c r="B225" s="91">
        <f>8955700471.80647/(10^9)</f>
        <v>8.9557004718064714</v>
      </c>
      <c r="C225" s="91">
        <f>596791101859.337/(10^9)</f>
        <v>596.791101859337</v>
      </c>
      <c r="D225" s="91">
        <f>80317812679.037/(10^9)</f>
        <v>80.317812679037004</v>
      </c>
      <c r="E225" s="82">
        <f t="shared" si="20"/>
        <v>578.87537219114085</v>
      </c>
      <c r="F225" s="84">
        <f t="shared" si="20"/>
        <v>79.394562793960333</v>
      </c>
      <c r="G225" s="98">
        <f t="shared" si="16"/>
        <v>1.5470861090371899</v>
      </c>
      <c r="H225" s="42">
        <f t="shared" si="17"/>
        <v>11.279992176602484</v>
      </c>
      <c r="I225" s="3">
        <f t="shared" si="12"/>
        <v>1.9379764437467331</v>
      </c>
      <c r="J225" s="3">
        <f t="shared" si="13"/>
        <v>13.679137989445179</v>
      </c>
      <c r="K225" s="48" t="b">
        <f t="shared" si="18"/>
        <v>0</v>
      </c>
      <c r="L225" s="105"/>
    </row>
    <row r="226" spans="1:12" x14ac:dyDescent="0.3">
      <c r="A226" s="104">
        <f t="shared" si="15"/>
        <v>42917</v>
      </c>
      <c r="B226" s="91">
        <f>8883441596.86153/(10^9)</f>
        <v>8.8834415968615303</v>
      </c>
      <c r="C226" s="91">
        <f>598023041517.484/(10^9)</f>
        <v>598.02304151748399</v>
      </c>
      <c r="D226" s="91">
        <f>81396032400.5782/(10^9)</f>
        <v>81.396032400578207</v>
      </c>
      <c r="E226" s="82">
        <f t="shared" si="20"/>
        <v>581.39556529922856</v>
      </c>
      <c r="F226" s="84">
        <f t="shared" si="20"/>
        <v>79.644485461460974</v>
      </c>
      <c r="G226" s="98">
        <f t="shared" si="16"/>
        <v>1.5279513857814624</v>
      </c>
      <c r="H226" s="42">
        <f t="shared" si="17"/>
        <v>11.153869028584689</v>
      </c>
      <c r="I226" s="3">
        <f t="shared" si="12"/>
        <v>1.9379764437467331</v>
      </c>
      <c r="J226" s="3">
        <f t="shared" si="13"/>
        <v>13.679137989445179</v>
      </c>
      <c r="K226" s="48" t="b">
        <f t="shared" si="18"/>
        <v>0</v>
      </c>
      <c r="L226" s="105"/>
    </row>
    <row r="227" spans="1:12" x14ac:dyDescent="0.3">
      <c r="A227" s="97">
        <f t="shared" si="15"/>
        <v>42948</v>
      </c>
      <c r="B227" s="91">
        <f>8600591137.13467/(10^9)</f>
        <v>8.6005911371346695</v>
      </c>
      <c r="C227" s="91">
        <f>598372943589.279/(10^9)</f>
        <v>598.37294358927909</v>
      </c>
      <c r="D227" s="91">
        <f>81495546954.0947/(10^9)</f>
        <v>81.495546954094692</v>
      </c>
      <c r="E227" s="82">
        <f t="shared" si="20"/>
        <v>583.69922674966483</v>
      </c>
      <c r="F227" s="84">
        <f t="shared" si="20"/>
        <v>79.794521678118073</v>
      </c>
      <c r="G227" s="98">
        <f t="shared" si="16"/>
        <v>1.473462828626166</v>
      </c>
      <c r="H227" s="42">
        <f t="shared" si="17"/>
        <v>10.778423074993125</v>
      </c>
      <c r="I227" s="3">
        <f t="shared" si="12"/>
        <v>1.9379764437467331</v>
      </c>
      <c r="J227" s="3">
        <f t="shared" si="13"/>
        <v>13.679137989445179</v>
      </c>
      <c r="K227" s="48" t="b">
        <f t="shared" si="18"/>
        <v>0</v>
      </c>
    </row>
    <row r="228" spans="1:12" x14ac:dyDescent="0.3">
      <c r="A228" s="104">
        <f t="shared" si="15"/>
        <v>42979</v>
      </c>
      <c r="B228" s="91">
        <f>8250833559.49631/(10^9)</f>
        <v>8.2508335594963107</v>
      </c>
      <c r="C228" s="91">
        <f>597675016486.858/(10^9)</f>
        <v>597.675016486858</v>
      </c>
      <c r="D228" s="91">
        <f>81761018551.7747/(10^9)</f>
        <v>81.761018551774697</v>
      </c>
      <c r="E228" s="82">
        <f t="shared" si="20"/>
        <v>585.89294390216355</v>
      </c>
      <c r="F228" s="84">
        <f t="shared" si="20"/>
        <v>79.979063206808362</v>
      </c>
      <c r="G228" s="98">
        <f t="shared" si="16"/>
        <v>1.4082493474907067</v>
      </c>
      <c r="H228" s="42">
        <f t="shared" si="17"/>
        <v>10.316241812137083</v>
      </c>
      <c r="I228" s="3">
        <f t="shared" si="12"/>
        <v>1.9379764437467331</v>
      </c>
      <c r="J228" s="3">
        <f t="shared" si="13"/>
        <v>13.679137989445179</v>
      </c>
      <c r="K228" s="48" t="b">
        <f t="shared" si="18"/>
        <v>0</v>
      </c>
    </row>
    <row r="229" spans="1:12" x14ac:dyDescent="0.3">
      <c r="A229" s="97">
        <f t="shared" si="15"/>
        <v>43009</v>
      </c>
      <c r="B229" s="91">
        <f>8407789386.5546/(10^9)</f>
        <v>8.4077893865545992</v>
      </c>
      <c r="C229" s="91">
        <f>601460336556.042/(10^9)</f>
        <v>601.46033655604197</v>
      </c>
      <c r="D229" s="91">
        <f>81843872735.2583/(10^9)</f>
        <v>81.843872735258302</v>
      </c>
      <c r="E229" s="82">
        <f t="shared" si="20"/>
        <v>588.74217829753809</v>
      </c>
      <c r="F229" s="84">
        <f t="shared" si="20"/>
        <v>80.342784340055616</v>
      </c>
      <c r="G229" s="98">
        <f t="shared" si="16"/>
        <v>1.4280936030211644</v>
      </c>
      <c r="H229" s="42">
        <f t="shared" si="17"/>
        <v>10.464896699332861</v>
      </c>
      <c r="I229" s="3">
        <f t="shared" si="12"/>
        <v>1.9379764437467331</v>
      </c>
      <c r="J229" s="3">
        <f t="shared" si="13"/>
        <v>13.679137989445179</v>
      </c>
      <c r="K229" s="48" t="b">
        <f t="shared" si="18"/>
        <v>0</v>
      </c>
    </row>
    <row r="230" spans="1:12" x14ac:dyDescent="0.3">
      <c r="A230" s="104">
        <f t="shared" si="15"/>
        <v>43040</v>
      </c>
      <c r="B230" s="91">
        <f>8397869767.30172/(10^9)</f>
        <v>8.3978697673017191</v>
      </c>
      <c r="C230" s="91">
        <f>608729326508.569/(10^9)</f>
        <v>608.72932650856899</v>
      </c>
      <c r="D230" s="91">
        <f>82812488322.1979/(10^9)</f>
        <v>82.812488322197908</v>
      </c>
      <c r="E230" s="82">
        <f t="shared" si="20"/>
        <v>591.17169992205675</v>
      </c>
      <c r="F230" s="84">
        <f t="shared" si="20"/>
        <v>80.72821175575659</v>
      </c>
      <c r="G230" s="98">
        <f t="shared" si="16"/>
        <v>1.4205466480227216</v>
      </c>
      <c r="H230" s="42">
        <f t="shared" si="17"/>
        <v>10.402645598925806</v>
      </c>
      <c r="I230" s="3">
        <f t="shared" si="12"/>
        <v>1.9379764437467331</v>
      </c>
      <c r="J230" s="3">
        <f t="shared" si="13"/>
        <v>13.679137989445179</v>
      </c>
      <c r="K230" s="48" t="b">
        <f t="shared" si="18"/>
        <v>0</v>
      </c>
    </row>
    <row r="231" spans="1:12" x14ac:dyDescent="0.3">
      <c r="A231" s="97">
        <f t="shared" si="15"/>
        <v>43070</v>
      </c>
      <c r="B231" s="91">
        <f>8305522693.76407/(10^9)</f>
        <v>8.30552269376407</v>
      </c>
      <c r="C231" s="91">
        <f>608551284833.623/(10^9)</f>
        <v>608.55128483362307</v>
      </c>
      <c r="D231" s="91">
        <f>83899046833.7684/(10^9)</f>
        <v>83.899046833768395</v>
      </c>
      <c r="E231" s="82">
        <f t="shared" si="20"/>
        <v>593.99793891247816</v>
      </c>
      <c r="F231" s="84">
        <f t="shared" si="20"/>
        <v>81.019760586936457</v>
      </c>
      <c r="G231" s="98">
        <f t="shared" si="16"/>
        <v>1.3982409954098909</v>
      </c>
      <c r="H231" s="42">
        <f t="shared" si="17"/>
        <v>10.251230852320296</v>
      </c>
      <c r="I231" s="3">
        <f t="shared" si="12"/>
        <v>1.9379764437467331</v>
      </c>
      <c r="J231" s="3">
        <f t="shared" si="13"/>
        <v>13.679137989445179</v>
      </c>
      <c r="K231" s="48" t="b">
        <f>+G231&lt;$G$231</f>
        <v>0</v>
      </c>
    </row>
    <row r="232" spans="1:12" x14ac:dyDescent="0.3">
      <c r="A232" s="97">
        <f t="shared" si="15"/>
        <v>43101</v>
      </c>
      <c r="B232" s="91">
        <f>8139564841.49401/(10^9)</f>
        <v>8.1395648414940105</v>
      </c>
      <c r="C232" s="91">
        <f>607145168133.436/(10^9)</f>
        <v>607.14516813343607</v>
      </c>
      <c r="D232" s="91">
        <f>84121744325.2766/(10^9)</f>
        <v>84.121744325276595</v>
      </c>
      <c r="E232" s="82">
        <f t="shared" si="20"/>
        <v>596.61670098757247</v>
      </c>
      <c r="F232" s="84">
        <f t="shared" si="20"/>
        <v>81.305715932145773</v>
      </c>
      <c r="G232" s="98">
        <f t="shared" si="16"/>
        <v>1.3642871257242191</v>
      </c>
      <c r="H232" s="42">
        <f t="shared" si="17"/>
        <v>10.011061028337711</v>
      </c>
      <c r="I232" s="3">
        <f>AVERAGE($G$173:$G$232)</f>
        <v>1.9379764437467331</v>
      </c>
      <c r="J232" s="3">
        <f t="shared" si="13"/>
        <v>13.679137989445179</v>
      </c>
      <c r="K232" s="48" t="b">
        <f t="shared" ref="K232" si="21">+G232&lt;$G$231</f>
        <v>1</v>
      </c>
      <c r="L232" s="50">
        <f>+H232-H220</f>
        <v>-5.9850435227928269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6.5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26"/>
  <sheetViews>
    <sheetView showGridLines="0" view="pageBreakPreview" topLeftCell="B1" zoomScale="96" zoomScaleNormal="100" zoomScaleSheetLayoutView="96" workbookViewId="0">
      <selection activeCell="E27" sqref="E27"/>
    </sheetView>
  </sheetViews>
  <sheetFormatPr baseColWidth="10" defaultRowHeight="15" x14ac:dyDescent="0.25"/>
  <cols>
    <col min="1" max="6" width="11.42578125" style="110"/>
    <col min="7" max="7" width="23.5703125" style="110" customWidth="1"/>
    <col min="8" max="8" width="8.7109375" style="110" customWidth="1"/>
    <col min="9" max="9" width="4.85546875" style="110" customWidth="1"/>
    <col min="10" max="10" width="3.5703125" style="110" customWidth="1"/>
    <col min="11" max="11" width="9.7109375" style="110" customWidth="1"/>
    <col min="12" max="12" width="12.5703125" style="110" customWidth="1"/>
    <col min="13" max="14" width="8.7109375" style="110" customWidth="1"/>
    <col min="15" max="16" width="10.7109375" style="110" customWidth="1"/>
    <col min="17" max="17" width="16.85546875" style="110" customWidth="1"/>
    <col min="18" max="16384" width="11.42578125" style="110"/>
  </cols>
  <sheetData>
    <row r="2" spans="1:20" x14ac:dyDescent="0.25"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</row>
    <row r="3" spans="1:20" x14ac:dyDescent="0.25">
      <c r="C3" s="116" t="s">
        <v>99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20" x14ac:dyDescent="0.25">
      <c r="C4" s="129" t="s">
        <v>100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</row>
    <row r="5" spans="1:20" ht="15.75" customHeight="1" thickBot="1" x14ac:dyDescent="0.3"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20" ht="15.75" thickBot="1" x14ac:dyDescent="0.3">
      <c r="A6" s="111"/>
      <c r="C6" s="183" t="s">
        <v>54</v>
      </c>
      <c r="D6" s="183"/>
      <c r="E6" s="183"/>
      <c r="F6" s="183"/>
      <c r="G6" s="184"/>
      <c r="H6" s="189">
        <v>42917</v>
      </c>
      <c r="I6" s="190"/>
      <c r="J6" s="190"/>
      <c r="K6" s="191"/>
      <c r="L6" s="192" t="s">
        <v>55</v>
      </c>
      <c r="M6" s="189">
        <v>43101</v>
      </c>
      <c r="N6" s="190"/>
      <c r="O6" s="190"/>
      <c r="P6" s="191"/>
      <c r="Q6" s="195" t="s">
        <v>55</v>
      </c>
    </row>
    <row r="7" spans="1:20" ht="15" customHeight="1" x14ac:dyDescent="0.25">
      <c r="C7" s="185"/>
      <c r="D7" s="185"/>
      <c r="E7" s="185"/>
      <c r="F7" s="185"/>
      <c r="G7" s="186"/>
      <c r="H7" s="196" t="s">
        <v>56</v>
      </c>
      <c r="I7" s="196"/>
      <c r="J7" s="196" t="s">
        <v>57</v>
      </c>
      <c r="K7" s="198"/>
      <c r="L7" s="193"/>
      <c r="M7" s="200" t="s">
        <v>56</v>
      </c>
      <c r="N7" s="195"/>
      <c r="O7" s="195" t="s">
        <v>57</v>
      </c>
      <c r="P7" s="202"/>
      <c r="Q7" s="196"/>
    </row>
    <row r="8" spans="1:20" ht="42" customHeight="1" thickBot="1" x14ac:dyDescent="0.3">
      <c r="C8" s="187"/>
      <c r="D8" s="187"/>
      <c r="E8" s="187"/>
      <c r="F8" s="187"/>
      <c r="G8" s="188"/>
      <c r="H8" s="197"/>
      <c r="I8" s="197"/>
      <c r="J8" s="197"/>
      <c r="K8" s="199"/>
      <c r="L8" s="194"/>
      <c r="M8" s="201"/>
      <c r="N8" s="197"/>
      <c r="O8" s="197"/>
      <c r="P8" s="199"/>
      <c r="Q8" s="197"/>
    </row>
    <row r="9" spans="1:20" x14ac:dyDescent="0.25">
      <c r="C9" s="152" t="s">
        <v>58</v>
      </c>
      <c r="D9" s="153"/>
      <c r="E9" s="153"/>
      <c r="F9" s="153"/>
      <c r="G9" s="154"/>
      <c r="H9" s="203">
        <v>77.585859718163945</v>
      </c>
      <c r="I9" s="204"/>
      <c r="J9" s="205">
        <v>5.1091372971489397</v>
      </c>
      <c r="K9" s="206"/>
      <c r="L9" s="155">
        <v>6.0694502101453551</v>
      </c>
      <c r="M9" s="203">
        <v>81.734908000000004</v>
      </c>
      <c r="N9" s="204"/>
      <c r="O9" s="207">
        <v>5.1574273094396776</v>
      </c>
      <c r="P9" s="208"/>
      <c r="Q9" s="156">
        <v>9.4064491945287543</v>
      </c>
      <c r="R9" s="112">
        <f>+Q9-L9</f>
        <v>3.3369989843833991</v>
      </c>
    </row>
    <row r="10" spans="1:20" x14ac:dyDescent="0.25">
      <c r="C10" s="157" t="s">
        <v>59</v>
      </c>
      <c r="D10" s="153"/>
      <c r="E10" s="153"/>
      <c r="F10" s="153"/>
      <c r="G10" s="154"/>
      <c r="H10" s="209">
        <v>5.4926873630871818</v>
      </c>
      <c r="I10" s="210"/>
      <c r="J10" s="211">
        <v>0.36170113948943539</v>
      </c>
      <c r="K10" s="212"/>
      <c r="L10" s="158">
        <v>7.342166611410561</v>
      </c>
      <c r="M10" s="209">
        <v>5.6915959999999997</v>
      </c>
      <c r="N10" s="210"/>
      <c r="O10" s="211">
        <v>0.35913654719838467</v>
      </c>
      <c r="P10" s="212"/>
      <c r="Q10" s="159">
        <v>8.9984242190619401</v>
      </c>
      <c r="R10" s="112"/>
      <c r="S10" s="113"/>
    </row>
    <row r="11" spans="1:20" x14ac:dyDescent="0.25">
      <c r="C11" s="157" t="s">
        <v>60</v>
      </c>
      <c r="D11" s="153"/>
      <c r="E11" s="153"/>
      <c r="F11" s="153"/>
      <c r="G11" s="154"/>
      <c r="H11" s="209">
        <v>3.1673516425433257</v>
      </c>
      <c r="I11" s="210"/>
      <c r="J11" s="211">
        <v>0.20857453238113088</v>
      </c>
      <c r="K11" s="212"/>
      <c r="L11" s="158">
        <v>4.7264141606797816</v>
      </c>
      <c r="M11" s="210">
        <v>3.1087829999999999</v>
      </c>
      <c r="N11" s="211"/>
      <c r="O11" s="211">
        <v>0.19616248107016659</v>
      </c>
      <c r="P11" s="211"/>
      <c r="Q11" s="159">
        <v>4.352603630803431</v>
      </c>
      <c r="R11" s="112"/>
      <c r="S11" s="112"/>
      <c r="T11" s="112"/>
    </row>
    <row r="12" spans="1:20" x14ac:dyDescent="0.25">
      <c r="A12" s="114"/>
      <c r="C12" s="157" t="s">
        <v>61</v>
      </c>
      <c r="D12" s="153"/>
      <c r="E12" s="153"/>
      <c r="F12" s="153"/>
      <c r="G12" s="154"/>
      <c r="H12" s="209">
        <v>3.2761005345745371</v>
      </c>
      <c r="I12" s="210"/>
      <c r="J12" s="211">
        <v>0.21573579890983324</v>
      </c>
      <c r="K12" s="212"/>
      <c r="L12" s="158">
        <v>-6.93092847929484</v>
      </c>
      <c r="M12" s="210">
        <v>4.7175130000000003</v>
      </c>
      <c r="N12" s="211"/>
      <c r="O12" s="211">
        <v>0.2976724507824331</v>
      </c>
      <c r="P12" s="211"/>
      <c r="Q12" s="159">
        <v>32.89710198273017</v>
      </c>
      <c r="R12" s="112"/>
      <c r="S12" s="112"/>
    </row>
    <row r="13" spans="1:20" x14ac:dyDescent="0.25">
      <c r="C13" s="157" t="s">
        <v>62</v>
      </c>
      <c r="D13" s="153"/>
      <c r="E13" s="153"/>
      <c r="F13" s="153"/>
      <c r="G13" s="154"/>
      <c r="H13" s="209">
        <v>65.600325836595388</v>
      </c>
      <c r="I13" s="210"/>
      <c r="J13" s="211">
        <v>4.319873139955769</v>
      </c>
      <c r="K13" s="212"/>
      <c r="L13" s="158">
        <v>6.7767904753148756</v>
      </c>
      <c r="M13" s="210">
        <v>68.217016000000001</v>
      </c>
      <c r="N13" s="211"/>
      <c r="O13" s="211">
        <v>4.3044558303886928</v>
      </c>
      <c r="P13" s="211"/>
      <c r="Q13" s="159">
        <v>8.3549482553901591</v>
      </c>
      <c r="R13" s="112"/>
      <c r="S13" s="112"/>
      <c r="T13" s="112"/>
    </row>
    <row r="14" spans="1:20" x14ac:dyDescent="0.25">
      <c r="C14" s="152"/>
      <c r="D14" s="153"/>
      <c r="E14" s="153"/>
      <c r="F14" s="153"/>
      <c r="G14" s="154"/>
      <c r="H14" s="203"/>
      <c r="I14" s="204"/>
      <c r="J14" s="205"/>
      <c r="K14" s="206"/>
      <c r="L14" s="155"/>
      <c r="M14" s="203"/>
      <c r="N14" s="204"/>
      <c r="O14" s="205"/>
      <c r="P14" s="206"/>
      <c r="Q14" s="156"/>
      <c r="R14" s="112"/>
      <c r="S14" s="112"/>
    </row>
    <row r="15" spans="1:20" x14ac:dyDescent="0.25">
      <c r="C15" s="152" t="s">
        <v>63</v>
      </c>
      <c r="D15" s="153"/>
      <c r="E15" s="153"/>
      <c r="F15" s="153"/>
      <c r="G15" s="154"/>
      <c r="H15" s="203">
        <v>744.42501951408974</v>
      </c>
      <c r="I15" s="204"/>
      <c r="J15" s="205">
        <v>49.021427950225331</v>
      </c>
      <c r="K15" s="206"/>
      <c r="L15" s="155">
        <v>13.462913494490248</v>
      </c>
      <c r="M15" s="203">
        <v>769.287104</v>
      </c>
      <c r="N15" s="204"/>
      <c r="O15" s="205">
        <v>48.541589096415954</v>
      </c>
      <c r="P15" s="206"/>
      <c r="Q15" s="156">
        <v>9.3670915087101125</v>
      </c>
      <c r="R15" s="112"/>
      <c r="S15" s="113"/>
    </row>
    <row r="16" spans="1:20" x14ac:dyDescent="0.25">
      <c r="C16" s="157" t="s">
        <v>64</v>
      </c>
      <c r="D16" s="153"/>
      <c r="E16" s="153"/>
      <c r="F16" s="153"/>
      <c r="G16" s="154"/>
      <c r="H16" s="209">
        <v>217.58173309072018</v>
      </c>
      <c r="I16" s="210"/>
      <c r="J16" s="211">
        <v>14.328061218246063</v>
      </c>
      <c r="K16" s="212"/>
      <c r="L16" s="158">
        <v>11.362123502842735</v>
      </c>
      <c r="M16" s="210">
        <v>229.38121000000001</v>
      </c>
      <c r="N16" s="211"/>
      <c r="O16" s="211">
        <v>14.473826981322565</v>
      </c>
      <c r="P16" s="211"/>
      <c r="Q16" s="159">
        <v>13.162405582611903</v>
      </c>
      <c r="R16" s="112"/>
      <c r="S16" s="112"/>
    </row>
    <row r="17" spans="3:19" x14ac:dyDescent="0.25">
      <c r="C17" s="157" t="s">
        <v>65</v>
      </c>
      <c r="D17" s="153"/>
      <c r="E17" s="153"/>
      <c r="F17" s="153"/>
      <c r="G17" s="154"/>
      <c r="H17" s="209">
        <v>14.098969097778404</v>
      </c>
      <c r="I17" s="210"/>
      <c r="J17" s="211">
        <v>0.92843681993699567</v>
      </c>
      <c r="K17" s="212"/>
      <c r="L17" s="158">
        <v>-7.8502049800974856</v>
      </c>
      <c r="M17" s="210">
        <v>17.324876</v>
      </c>
      <c r="N17" s="211"/>
      <c r="O17" s="211">
        <v>1.0931900555275114</v>
      </c>
      <c r="P17" s="211"/>
      <c r="Q17" s="159">
        <v>11.110464564844612</v>
      </c>
      <c r="R17" s="112"/>
      <c r="S17" s="112"/>
    </row>
    <row r="18" spans="3:19" x14ac:dyDescent="0.25">
      <c r="C18" s="157" t="s">
        <v>66</v>
      </c>
      <c r="D18" s="153"/>
      <c r="E18" s="153"/>
      <c r="F18" s="153"/>
      <c r="G18" s="154"/>
      <c r="H18" s="209">
        <v>10.298772029200723</v>
      </c>
      <c r="I18" s="210"/>
      <c r="J18" s="211">
        <v>0.67818853178094141</v>
      </c>
      <c r="K18" s="212"/>
      <c r="L18" s="158">
        <v>-5.3251344494554491</v>
      </c>
      <c r="M18" s="210">
        <v>10.578602</v>
      </c>
      <c r="N18" s="210"/>
      <c r="O18" s="211">
        <v>0.66750391216557292</v>
      </c>
      <c r="P18" s="211"/>
      <c r="Q18" s="159">
        <v>8.7033955575465338</v>
      </c>
      <c r="R18" s="112"/>
      <c r="S18" s="113"/>
    </row>
    <row r="19" spans="3:19" x14ac:dyDescent="0.25">
      <c r="C19" s="157" t="s">
        <v>67</v>
      </c>
      <c r="D19" s="153"/>
      <c r="E19" s="153"/>
      <c r="F19" s="153"/>
      <c r="G19" s="154"/>
      <c r="H19" s="209">
        <v>476.92003923736411</v>
      </c>
      <c r="I19" s="210"/>
      <c r="J19" s="211">
        <v>31.405851131593497</v>
      </c>
      <c r="K19" s="212"/>
      <c r="L19" s="158">
        <v>14.429211050855884</v>
      </c>
      <c r="M19" s="210">
        <v>489.353793</v>
      </c>
      <c r="N19" s="211"/>
      <c r="O19" s="211">
        <v>30.87795261231701</v>
      </c>
      <c r="P19" s="211"/>
      <c r="Q19" s="159">
        <v>7.231184725994666</v>
      </c>
      <c r="R19" s="112"/>
      <c r="S19" s="112"/>
    </row>
    <row r="20" spans="3:19" ht="16.5" x14ac:dyDescent="0.3">
      <c r="C20" s="157" t="s">
        <v>68</v>
      </c>
      <c r="D20" s="153"/>
      <c r="E20" s="153"/>
      <c r="F20" s="153"/>
      <c r="G20" s="154"/>
      <c r="H20" s="209">
        <v>24.886658681631996</v>
      </c>
      <c r="I20" s="210"/>
      <c r="J20" s="211">
        <v>1.6388212560074791</v>
      </c>
      <c r="K20" s="212"/>
      <c r="L20" s="158">
        <v>44.995239311694689</v>
      </c>
      <c r="M20" s="210">
        <v>22.648623000000001</v>
      </c>
      <c r="N20" s="211"/>
      <c r="O20" s="211">
        <v>1.4291155350832914</v>
      </c>
      <c r="P20" s="211"/>
      <c r="Q20" s="159">
        <v>19.077426280478214</v>
      </c>
      <c r="R20" s="115"/>
      <c r="S20" s="112"/>
    </row>
    <row r="21" spans="3:19" x14ac:dyDescent="0.25">
      <c r="C21" s="129"/>
      <c r="D21" s="129"/>
      <c r="E21" s="129"/>
      <c r="F21" s="129"/>
      <c r="G21" s="129"/>
      <c r="H21" s="213"/>
      <c r="I21" s="214"/>
      <c r="J21" s="129"/>
      <c r="K21" s="129"/>
      <c r="L21" s="160"/>
      <c r="M21" s="213"/>
      <c r="N21" s="214"/>
      <c r="O21" s="129"/>
      <c r="P21" s="129"/>
      <c r="Q21" s="160"/>
      <c r="R21" s="112"/>
      <c r="S21" s="112"/>
    </row>
    <row r="22" spans="3:19" x14ac:dyDescent="0.25">
      <c r="C22" s="152" t="s">
        <v>69</v>
      </c>
      <c r="D22" s="153"/>
      <c r="E22" s="153"/>
      <c r="F22" s="153"/>
      <c r="G22" s="154"/>
      <c r="H22" s="203">
        <v>822.01087923225373</v>
      </c>
      <c r="I22" s="215"/>
      <c r="J22" s="205">
        <v>54.130565247374271</v>
      </c>
      <c r="K22" s="206"/>
      <c r="L22" s="155">
        <v>12.721315303188319</v>
      </c>
      <c r="M22" s="204">
        <v>851.95005500000002</v>
      </c>
      <c r="N22" s="215"/>
      <c r="O22" s="205">
        <v>53.757575403836398</v>
      </c>
      <c r="P22" s="205"/>
      <c r="Q22" s="156">
        <v>9.4</v>
      </c>
      <c r="R22" s="171">
        <f>+M19/M15</f>
        <v>0.63611334501195538</v>
      </c>
      <c r="S22" s="112"/>
    </row>
    <row r="23" spans="3:19" ht="15.75" thickBot="1" x14ac:dyDescent="0.3">
      <c r="C23" s="161" t="s">
        <v>101</v>
      </c>
      <c r="D23" s="162"/>
      <c r="E23" s="162"/>
      <c r="F23" s="162"/>
      <c r="G23" s="163"/>
      <c r="H23" s="216">
        <v>1544.0262930771632</v>
      </c>
      <c r="I23" s="217"/>
      <c r="J23" s="218">
        <v>101.67628934441404</v>
      </c>
      <c r="K23" s="219"/>
      <c r="L23" s="164">
        <v>7.6099327139302009</v>
      </c>
      <c r="M23" s="217">
        <v>1584.8</v>
      </c>
      <c r="N23" s="217"/>
      <c r="O23" s="217">
        <v>100</v>
      </c>
      <c r="P23" s="217"/>
      <c r="Q23" s="165">
        <v>6.873817261342885</v>
      </c>
      <c r="R23" s="112"/>
      <c r="S23" s="112"/>
    </row>
    <row r="24" spans="3:19" x14ac:dyDescent="0.25">
      <c r="C24" s="166" t="s">
        <v>102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12"/>
      <c r="S24" s="112"/>
    </row>
    <row r="25" spans="3:19" x14ac:dyDescent="0.25">
      <c r="C25" s="166" t="s">
        <v>103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12"/>
      <c r="S25" s="112"/>
    </row>
    <row r="26" spans="3:19" x14ac:dyDescent="0.25"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</row>
  </sheetData>
  <mergeCells count="68">
    <mergeCell ref="H23:I23"/>
    <mergeCell ref="J23:K23"/>
    <mergeCell ref="M23:N23"/>
    <mergeCell ref="O23:P23"/>
    <mergeCell ref="C26:Q26"/>
    <mergeCell ref="O22:P22"/>
    <mergeCell ref="H19:I19"/>
    <mergeCell ref="J19:K19"/>
    <mergeCell ref="M19:N19"/>
    <mergeCell ref="O19:P19"/>
    <mergeCell ref="H20:I20"/>
    <mergeCell ref="J20:K20"/>
    <mergeCell ref="M20:N20"/>
    <mergeCell ref="O20:P20"/>
    <mergeCell ref="H21:I21"/>
    <mergeCell ref="M21:N21"/>
    <mergeCell ref="H22:I22"/>
    <mergeCell ref="J22:K22"/>
    <mergeCell ref="M22:N22"/>
    <mergeCell ref="H17:I17"/>
    <mergeCell ref="J17:K17"/>
    <mergeCell ref="M17:N17"/>
    <mergeCell ref="O17:P17"/>
    <mergeCell ref="H18:I18"/>
    <mergeCell ref="J18:K18"/>
    <mergeCell ref="M18:N18"/>
    <mergeCell ref="O18:P18"/>
    <mergeCell ref="H15:I15"/>
    <mergeCell ref="J15:K15"/>
    <mergeCell ref="M15:N15"/>
    <mergeCell ref="O15:P15"/>
    <mergeCell ref="H16:I16"/>
    <mergeCell ref="J16:K16"/>
    <mergeCell ref="M16:N16"/>
    <mergeCell ref="O16:P16"/>
    <mergeCell ref="H13:I13"/>
    <mergeCell ref="J13:K13"/>
    <mergeCell ref="M13:N13"/>
    <mergeCell ref="O13:P13"/>
    <mergeCell ref="H14:I14"/>
    <mergeCell ref="J14:K14"/>
    <mergeCell ref="M14:N14"/>
    <mergeCell ref="O14:P14"/>
    <mergeCell ref="H11:I11"/>
    <mergeCell ref="J11:K11"/>
    <mergeCell ref="M11:N11"/>
    <mergeCell ref="O11:P11"/>
    <mergeCell ref="H12:I12"/>
    <mergeCell ref="J12:K12"/>
    <mergeCell ref="M12:N12"/>
    <mergeCell ref="O12:P12"/>
    <mergeCell ref="H9:I9"/>
    <mergeCell ref="J9:K9"/>
    <mergeCell ref="M9:N9"/>
    <mergeCell ref="O9:P9"/>
    <mergeCell ref="H10:I10"/>
    <mergeCell ref="J10:K10"/>
    <mergeCell ref="M10:N10"/>
    <mergeCell ref="O10:P10"/>
    <mergeCell ref="C6:G8"/>
    <mergeCell ref="H6:K6"/>
    <mergeCell ref="L6:L8"/>
    <mergeCell ref="M6:P6"/>
    <mergeCell ref="Q6:Q8"/>
    <mergeCell ref="H7:I8"/>
    <mergeCell ref="J7:K8"/>
    <mergeCell ref="M7:N8"/>
    <mergeCell ref="O7:P8"/>
  </mergeCells>
  <pageMargins left="0.7" right="0.7" top="0.75" bottom="0.75" header="0.3" footer="0.3"/>
  <pageSetup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G2.1</vt:lpstr>
      <vt:lpstr>G2.2</vt:lpstr>
      <vt:lpstr>G2.3</vt:lpstr>
      <vt:lpstr>G2.4A</vt:lpstr>
      <vt:lpstr>G2.4B</vt:lpstr>
      <vt:lpstr>G2.5A</vt:lpstr>
      <vt:lpstr>G2.5B</vt:lpstr>
      <vt:lpstr>Hoja2</vt:lpstr>
      <vt:lpstr>C2.1</vt:lpstr>
      <vt:lpstr>G2.6A</vt:lpstr>
      <vt:lpstr>G2.6B</vt:lpstr>
      <vt:lpstr>C2.1!Área_de_impresión</vt:lpstr>
      <vt:lpstr>G2.1!Área_de_impresión</vt:lpstr>
      <vt:lpstr>G2.2!Área_de_impresión</vt:lpstr>
      <vt:lpstr>G2.3!Área_de_impresión</vt:lpstr>
      <vt:lpstr>G2.4A!Área_de_impresión</vt:lpstr>
      <vt:lpstr>G2.4B!Área_de_impresión</vt:lpstr>
      <vt:lpstr>G2.5A!Área_de_impresión</vt:lpstr>
      <vt:lpstr>G2.5B!Área_de_impresión</vt:lpstr>
      <vt:lpstr>G2.6A!Área_de_impresión</vt:lpstr>
      <vt:lpstr>G2.6B!Área_de_impresión</vt:lpstr>
    </vt:vector>
  </TitlesOfParts>
  <Company>Banco de la República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Yanquen Briñez Eduardo</dc:creator>
  <cp:lastModifiedBy>Yanquen Briñez Eduardo</cp:lastModifiedBy>
  <dcterms:created xsi:type="dcterms:W3CDTF">2018-05-04T15:36:57Z</dcterms:created>
  <dcterms:modified xsi:type="dcterms:W3CDTF">2018-05-30T15:39:49Z</dcterms:modified>
</cp:coreProperties>
</file>