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290"/>
  </bookViews>
  <sheets>
    <sheet name="Consolidado Julio 2015 VF" sheetId="1" r:id="rId1"/>
  </sheets>
  <definedNames>
    <definedName name="_xlnm._FilterDatabase" localSheetId="0" hidden="1">'Consolidado Julio 2015 VF'!$B$18:$L$102</definedName>
    <definedName name="_xlnm.Print_Area" localSheetId="0">'Consolidado Julio 2015 VF'!$B$1:$M$154</definedName>
  </definedNames>
  <calcPr calcId="145621"/>
</workbook>
</file>

<file path=xl/calcChain.xml><?xml version="1.0" encoding="utf-8"?>
<calcChain xmlns="http://schemas.openxmlformats.org/spreadsheetml/2006/main">
  <c r="H122" i="1" l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C12" i="1"/>
</calcChain>
</file>

<file path=xl/sharedStrings.xml><?xml version="1.0" encoding="utf-8"?>
<sst xmlns="http://schemas.openxmlformats.org/spreadsheetml/2006/main" count="774" uniqueCount="157">
  <si>
    <t>PLAN ANUAL DE ADQUISICIONES</t>
  </si>
  <si>
    <t>A. INFORMACIÓN GENERAL DE LA ENTIDAD</t>
  </si>
  <si>
    <t>Nombre</t>
  </si>
  <si>
    <t>Banco de la República</t>
  </si>
  <si>
    <t>Dirección</t>
  </si>
  <si>
    <t>Carrera 7a  No. 14-78</t>
  </si>
  <si>
    <t>Teléfono</t>
  </si>
  <si>
    <t>Página web</t>
  </si>
  <si>
    <t>www.banrep.gov.co</t>
  </si>
  <si>
    <t>Misión y visión</t>
  </si>
  <si>
    <t>Misión:  Contribuir al bienestar de los colombianos mediante la preservación del poder adquisitivo de la moneda y el apoyo al crecimiento económico sostenido, a la generación de conocimiento y a la actividad cultural del país.
Visión: Ser reconocidos cada vez más, nacional e internacionalmente, como una institución esencial para el bienestar de la sociedad, que opera con excelencia, transparencia y sostenibilidad</t>
  </si>
  <si>
    <t>Perspectiva estratégica</t>
  </si>
  <si>
    <t>Orientación estratégica: El Banco de la República es una Entidad del Estado Colombiano que contribuye al bienestar de la sociedad mediante el cumplimiento de funciones de banca central que la Constitución y la ley le han delegado. Con sus acciones, busca generar impactos sociales, económicos y ambientales positivos, tanto en la sociedad actual como sobre las generaciones futuras. La excelencia, la transparencia y la sostenibilidad son pilares que guían su gestión para alcanzar los más altos niveles de calidad, productividad y oportunidad, y así mantener la confianza y credibilidad en la institución</t>
  </si>
  <si>
    <t>Información de contacto</t>
  </si>
  <si>
    <t>atencionalciudadano@banrep.gov.co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</si>
  <si>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</si>
  <si>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</si>
  <si>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</si>
  <si>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N/A</t>
  </si>
  <si>
    <t>Límite de contratación mínima cuantía</t>
  </si>
  <si>
    <t>Fecha de última actualización del PAA</t>
  </si>
  <si>
    <t>Mayo de 2015</t>
  </si>
  <si>
    <t>B. ADQUISICIONES PLANEADAS</t>
  </si>
  <si>
    <t>Códigos UNSPSC</t>
  </si>
  <si>
    <t>Descripción</t>
  </si>
  <si>
    <t>Fecha estimada de inicio de proceso de selección</t>
  </si>
  <si>
    <t>Duración estimada del contrato
(Meses)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</si>
  <si>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</si>
  <si>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</si>
  <si>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</si>
  <si>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</si>
  <si>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</si>
  <si>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</si>
  <si>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</si>
  <si>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Elevadores de carga</t>
  </si>
  <si>
    <t>Marzo</t>
  </si>
  <si>
    <t>Invitación a Personas Determinadas</t>
  </si>
  <si>
    <t>Propios</t>
  </si>
  <si>
    <t>Taladros y pistolas de aire caliente</t>
  </si>
  <si>
    <t>Mayo</t>
  </si>
  <si>
    <t>Sopladoras y aspiradoras para equipos</t>
  </si>
  <si>
    <t>Estibadoras eléctricas</t>
  </si>
  <si>
    <t>Febrero</t>
  </si>
  <si>
    <t>Montacargas</t>
  </si>
  <si>
    <t>Carros metálicos</t>
  </si>
  <si>
    <t>Vehículos</t>
  </si>
  <si>
    <t>Engrasadoras neumáticas</t>
  </si>
  <si>
    <t>Escaleras y Andamios</t>
  </si>
  <si>
    <t>Tarimas y Poduims</t>
  </si>
  <si>
    <t>Equipo para iluminación de emergencia</t>
  </si>
  <si>
    <t>Consolas de luces</t>
  </si>
  <si>
    <t>UPS para computador de escritorio</t>
  </si>
  <si>
    <t>Deshumecedores de ambiente</t>
  </si>
  <si>
    <t>Durómetros</t>
  </si>
  <si>
    <t>Básculas digitales</t>
  </si>
  <si>
    <t>Plataforma de pesaje con indicador</t>
  </si>
  <si>
    <t>Micrómetros</t>
  </si>
  <si>
    <t>Medidores de humedad y temperatura</t>
  </si>
  <si>
    <t>Luxómetros o medidores de niveles de iluminación</t>
  </si>
  <si>
    <t>Equipo de telefonía IP</t>
  </si>
  <si>
    <t>Videodisc o DVD</t>
  </si>
  <si>
    <t>Computadores</t>
  </si>
  <si>
    <t>Impresoras</t>
  </si>
  <si>
    <t>Sistemas digitales de intercomunicación</t>
  </si>
  <si>
    <t>Equipo de aseguramiento de redes</t>
  </si>
  <si>
    <t>Octubre</t>
  </si>
  <si>
    <t>Enrutadores de red</t>
  </si>
  <si>
    <t>Abril</t>
  </si>
  <si>
    <t>Software aplicativo</t>
  </si>
  <si>
    <t>Equipos para microfilmación (microfill scanner)</t>
  </si>
  <si>
    <t>Enero</t>
  </si>
  <si>
    <t>Maquinaria y Equipo - Equipos multifuncionales</t>
  </si>
  <si>
    <t>Maquinaria, suministros y accesorios de oficina</t>
  </si>
  <si>
    <t>Planoteca metálica</t>
  </si>
  <si>
    <t>Equipos de presentación de vídeo y de mezcla de vídeo y sonido, hardware y controladores</t>
  </si>
  <si>
    <t>Cámaras y accesorios</t>
  </si>
  <si>
    <t>Cajas fuerte blindada</t>
  </si>
  <si>
    <t>Proyecto control digital de acceso</t>
  </si>
  <si>
    <t>Equipo de auditoría en seguridad</t>
  </si>
  <si>
    <t>Proyecto detección digital de intrusión</t>
  </si>
  <si>
    <t>Junio</t>
  </si>
  <si>
    <t>Relojes para control de personal</t>
  </si>
  <si>
    <t>Fuentes lava ojos</t>
  </si>
  <si>
    <t>Equipo contra incendios</t>
  </si>
  <si>
    <t>Hidrolavadoras</t>
  </si>
  <si>
    <t>Máquinas y accesorios para pisos</t>
  </si>
  <si>
    <t>Secadores automático para las manos</t>
  </si>
  <si>
    <t>Instrumentos musicales - Área Cultural</t>
  </si>
  <si>
    <t>Equipos para entrenamiento físico</t>
  </si>
  <si>
    <t>Electrodomésticos para cocina</t>
  </si>
  <si>
    <t>Calentadores de ambiente</t>
  </si>
  <si>
    <t>Equipos audiovisuales</t>
  </si>
  <si>
    <t>Interfaces para proyector</t>
  </si>
  <si>
    <t>Suscripciones (periodicos, revistas, publicaciones…)</t>
  </si>
  <si>
    <t>Contratación Directa</t>
  </si>
  <si>
    <t>Proyecto periódicos y revistas - Área Cultural</t>
  </si>
  <si>
    <t>Mapas y planos - Área Cultural</t>
  </si>
  <si>
    <t>Libros - Colección bibliográfica Área Cultural y Hemeroteca</t>
  </si>
  <si>
    <t>Publicaciones impresas (cheques material gráfico Área Cultural)</t>
  </si>
  <si>
    <t>Muebles, mobiliario y decoración</t>
  </si>
  <si>
    <t>Proyectos Filatelia, Monedas y Medallas - Área Cultural</t>
  </si>
  <si>
    <t>Invitación abierta</t>
  </si>
  <si>
    <t>Obras de arte - Colección Banco - Área Cultural</t>
  </si>
  <si>
    <t xml:space="preserve">Mantenimiento zonas verdes, lotes </t>
  </si>
  <si>
    <t>Reparaciones y adecuaciones locativas</t>
  </si>
  <si>
    <t>Servicios de mantenimiento y reparación de instalaciones</t>
  </si>
  <si>
    <t xml:space="preserve">Servicios de telecomunicaciones - Mantenimiento y reparación </t>
  </si>
  <si>
    <t>Servicios especiales relacionados con protección y seguridad</t>
  </si>
  <si>
    <t>Equipo de movilización y maquinaria - Mantenimiento y reparación de Equipos de seguridad y radiocomunicaciones</t>
  </si>
  <si>
    <t>Servicios de terminado interior, dotación y remodelación</t>
  </si>
  <si>
    <t>Mantenimiento y reparación de muebles y equipos de oficina</t>
  </si>
  <si>
    <t>Equipo de movilización y maquinaria - Mantenimiento y reparación de Equipos de tesorería</t>
  </si>
  <si>
    <t>Servicio de aseo y cafetería</t>
  </si>
  <si>
    <t>Transporte muebles y enseres, maquinaria y equipo, útiles, papel, incluye aeroexpresos</t>
  </si>
  <si>
    <t>Transporte de basuras y desperdicios</t>
  </si>
  <si>
    <t>Vehículos - Mantenimiento, reparación y suministros para Vehículos del Banco</t>
  </si>
  <si>
    <t xml:space="preserve">Asesores del Banco en el país </t>
  </si>
  <si>
    <t>Arrendamiento parqueaderos para vehículos del Banco</t>
  </si>
  <si>
    <t>Arrendamiento de oficinas y locales para funcionamiento de las dependencias del Banco</t>
  </si>
  <si>
    <t>Avalúos</t>
  </si>
  <si>
    <t>Servicios de relaciones públicas</t>
  </si>
  <si>
    <t>Equipo de computación - Mantenimiento y reparación de equipos personales y corporativos</t>
  </si>
  <si>
    <t>Servicios de traducción</t>
  </si>
  <si>
    <t>Servicios editoriales. Mantenimiento, reprografía, microfilmación y digitalización</t>
  </si>
  <si>
    <t>Servicio integral de fotocopiado</t>
  </si>
  <si>
    <t>Proyecto CCTV - Servicios de medios de telecomunicaciones</t>
  </si>
  <si>
    <t>Capacitación en especies monetarias</t>
  </si>
  <si>
    <t>Servicio de lavandería, alfombras, cortinas, uniformes, etc.</t>
  </si>
  <si>
    <t>Servicio de vigilancia</t>
  </si>
  <si>
    <t>Máquinas para recubrir o platear (Proyecto IB: Baño de Niquel)</t>
  </si>
  <si>
    <t>Julio</t>
  </si>
  <si>
    <t>Proyecto IB: Equipo de control de calidad Ir</t>
  </si>
  <si>
    <t>Proyecto IB: Juego de numeradores para super check</t>
  </si>
  <si>
    <t>Proyecto IB: Evaporador al vacío</t>
  </si>
  <si>
    <t>Septiembre</t>
  </si>
  <si>
    <t>Proyecto IB: Equipo de medicion</t>
  </si>
  <si>
    <t>Proyecto IB: Herramientas varias</t>
  </si>
  <si>
    <t>Equipos o accesorios para calentar o secar (Tablas de secado)</t>
  </si>
  <si>
    <t>Agosto</t>
  </si>
  <si>
    <t>Cloruro de calcio</t>
  </si>
  <si>
    <t>Antiespumante siliconado</t>
  </si>
  <si>
    <t>Cartón ondulado y otros materiales para distribución</t>
  </si>
  <si>
    <t>Puntos de consulta y captura de información procesos productivos (Estructura metálica con hardware y software)</t>
  </si>
  <si>
    <t>Actualización del sistema intregado de lavado y secado Spaleck</t>
  </si>
  <si>
    <t>Rodamientos varios</t>
  </si>
  <si>
    <t>Lubricantes</t>
  </si>
  <si>
    <t>Cemento refractario castable</t>
  </si>
  <si>
    <t>Maquinaria empacadora (Camisas protectoras de enfriamiento de equipos)</t>
  </si>
  <si>
    <t>Repuestos para montacargas eléctrico</t>
  </si>
  <si>
    <t>Componentes y accesorios de maquinaria industrial (Tarjetas electrónicas para contadoras Reis)</t>
  </si>
  <si>
    <t>Metales puros electrolíticos: zinc, niquel, cobre</t>
  </si>
  <si>
    <t>Monedas (Cospeles de acero electrodepositado)</t>
  </si>
  <si>
    <t>Gestión de desechos no peligrosos</t>
  </si>
  <si>
    <t>julio</t>
  </si>
  <si>
    <t>Invitación a personas determinadas</t>
  </si>
  <si>
    <t>C. NECESIDADES ADICIONALES</t>
  </si>
  <si>
    <t>Posibles códigos UNSPSC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</si>
</sst>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_);_(&quot;$&quot;\ * \(#,##0\);_(&quot;$&quot;\ * &quot;-&quot;??_);_(@_)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3" xfId="0" applyBorder="1" applyAlignment="1">
      <alignment horizontal="left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/>
    </xf>
    <xf numFmtId="165" fontId="5" fillId="3" borderId="6" xfId="0" applyNumberFormat="1" applyFont="1" applyFill="1" applyBorder="1" applyAlignment="1">
      <alignment vertical="center" wrapText="1"/>
    </xf>
    <xf numFmtId="0" fontId="2" fillId="3" borderId="7" xfId="2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165" fontId="5" fillId="0" borderId="11" xfId="0" applyNumberFormat="1" applyFont="1" applyBorder="1" applyAlignment="1">
      <alignment vertical="center"/>
    </xf>
    <xf numFmtId="165" fontId="5" fillId="3" borderId="11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2" fillId="3" borderId="14" xfId="2" applyFill="1" applyBorder="1" applyAlignment="1">
      <alignment horizontal="center" vertical="center" wrapText="1"/>
    </xf>
    <xf numFmtId="165" fontId="5" fillId="3" borderId="11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165" fontId="5" fillId="0" borderId="15" xfId="0" applyNumberFormat="1" applyFont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1" fillId="2" borderId="1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0" borderId="6" xfId="2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2" fillId="0" borderId="6" xfId="2" quotePrefix="1" applyBorder="1" applyAlignment="1">
      <alignment horizontal="center" vertical="center" wrapText="1"/>
    </xf>
    <xf numFmtId="0" fontId="2" fillId="0" borderId="7" xfId="2" quotePrefix="1" applyBorder="1" applyAlignment="1">
      <alignment horizontal="center" vertical="center" wrapText="1"/>
    </xf>
  </cellXfs>
  <cellStyles count="3">
    <cellStyle name="Énfasis1" xfId="1" builtinId="29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tencionalciudadano@banrep.gov.co" TargetMode="External"/><Relationship Id="rId7" Type="http://schemas.openxmlformats.org/officeDocument/2006/relationships/hyperlink" Target="mailto:atencionalciudadano@banrep.gov.co" TargetMode="External"/><Relationship Id="rId2" Type="http://schemas.openxmlformats.org/officeDocument/2006/relationships/hyperlink" Target="mailto:atencionalciudadano@banrep.gov.co" TargetMode="External"/><Relationship Id="rId1" Type="http://schemas.openxmlformats.org/officeDocument/2006/relationships/hyperlink" Target="http://www.banrep,.gov.co/" TargetMode="External"/><Relationship Id="rId6" Type="http://schemas.openxmlformats.org/officeDocument/2006/relationships/hyperlink" Target="mailto:atencionalciudadano@banrep.gov.co" TargetMode="External"/><Relationship Id="rId5" Type="http://schemas.openxmlformats.org/officeDocument/2006/relationships/hyperlink" Target="mailto:atencionalciudadano@banrep.gov.co" TargetMode="External"/><Relationship Id="rId4" Type="http://schemas.openxmlformats.org/officeDocument/2006/relationships/hyperlink" Target="mailto:atencionalciudadano@banrep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2:O153"/>
  <sheetViews>
    <sheetView tabSelected="1" zoomScale="85" zoomScaleNormal="85" zoomScalePageLayoutView="80" workbookViewId="0">
      <selection activeCell="C123" sqref="C123"/>
    </sheetView>
  </sheetViews>
  <sheetFormatPr baseColWidth="10" defaultColWidth="10.85546875" defaultRowHeight="15" x14ac:dyDescent="0.25"/>
  <cols>
    <col min="1" max="1" width="10.85546875" style="2"/>
    <col min="2" max="2" width="23.28515625" style="2" customWidth="1"/>
    <col min="3" max="3" width="61.42578125" style="2" customWidth="1"/>
    <col min="4" max="5" width="15.140625" style="2" customWidth="1"/>
    <col min="6" max="6" width="17.42578125" style="2" customWidth="1"/>
    <col min="7" max="7" width="10.85546875" style="2"/>
    <col min="8" max="9" width="21.7109375" style="2" customWidth="1"/>
    <col min="10" max="10" width="14.5703125" style="2" customWidth="1"/>
    <col min="11" max="11" width="18.28515625" style="2" customWidth="1"/>
    <col min="12" max="12" width="43.5703125" style="2" customWidth="1"/>
    <col min="13" max="13" width="0.85546875" style="2" customWidth="1"/>
    <col min="14" max="14" width="42.42578125" style="2" customWidth="1"/>
    <col min="15" max="16384" width="10.85546875" style="2"/>
  </cols>
  <sheetData>
    <row r="2" spans="2:11" x14ac:dyDescent="0.25">
      <c r="B2" s="1" t="s">
        <v>0</v>
      </c>
    </row>
    <row r="3" spans="2:11" x14ac:dyDescent="0.25">
      <c r="B3" s="1"/>
    </row>
    <row r="4" spans="2:11" ht="15.75" thickBot="1" x14ac:dyDescent="0.3">
      <c r="B4" s="1" t="s">
        <v>1</v>
      </c>
    </row>
    <row r="5" spans="2:11" ht="24.95" customHeight="1" x14ac:dyDescent="0.25">
      <c r="B5" s="3" t="s">
        <v>2</v>
      </c>
      <c r="C5" s="72" t="s">
        <v>3</v>
      </c>
      <c r="D5" s="73"/>
      <c r="F5" s="59"/>
      <c r="G5" s="60"/>
      <c r="H5" s="60"/>
      <c r="I5" s="60"/>
      <c r="J5" s="60"/>
      <c r="K5" s="61"/>
    </row>
    <row r="6" spans="2:11" ht="24.95" customHeight="1" x14ac:dyDescent="0.25">
      <c r="B6" s="4" t="s">
        <v>4</v>
      </c>
      <c r="C6" s="74" t="s">
        <v>5</v>
      </c>
      <c r="D6" s="58"/>
      <c r="F6" s="62"/>
      <c r="G6" s="63"/>
      <c r="H6" s="63"/>
      <c r="I6" s="63"/>
      <c r="J6" s="63"/>
      <c r="K6" s="64"/>
    </row>
    <row r="7" spans="2:11" ht="24.95" customHeight="1" x14ac:dyDescent="0.25">
      <c r="B7" s="4" t="s">
        <v>6</v>
      </c>
      <c r="C7" s="75">
        <v>3431802</v>
      </c>
      <c r="D7" s="76"/>
      <c r="F7" s="62"/>
      <c r="G7" s="63"/>
      <c r="H7" s="63"/>
      <c r="I7" s="63"/>
      <c r="J7" s="63"/>
      <c r="K7" s="64"/>
    </row>
    <row r="8" spans="2:11" ht="24.95" customHeight="1" x14ac:dyDescent="0.25">
      <c r="B8" s="4" t="s">
        <v>7</v>
      </c>
      <c r="C8" s="77" t="s">
        <v>8</v>
      </c>
      <c r="D8" s="78"/>
      <c r="F8" s="62"/>
      <c r="G8" s="63"/>
      <c r="H8" s="63"/>
      <c r="I8" s="63"/>
      <c r="J8" s="63"/>
      <c r="K8" s="64"/>
    </row>
    <row r="9" spans="2:11" ht="105.75" customHeight="1" x14ac:dyDescent="0.25">
      <c r="B9" s="4" t="s">
        <v>9</v>
      </c>
      <c r="C9" s="55" t="s">
        <v>10</v>
      </c>
      <c r="D9" s="56"/>
      <c r="F9" s="65"/>
      <c r="G9" s="66"/>
      <c r="H9" s="66"/>
      <c r="I9" s="66"/>
      <c r="J9" s="66"/>
      <c r="K9" s="67"/>
    </row>
    <row r="10" spans="2:11" ht="145.5" customHeight="1" x14ac:dyDescent="0.25">
      <c r="B10" s="4" t="s">
        <v>11</v>
      </c>
      <c r="C10" s="55" t="s">
        <v>12</v>
      </c>
      <c r="D10" s="56"/>
      <c r="F10" s="5"/>
      <c r="G10" s="5"/>
      <c r="H10" s="5"/>
      <c r="I10" s="5"/>
    </row>
    <row r="11" spans="2:11" ht="30" customHeight="1" x14ac:dyDescent="0.25">
      <c r="B11" s="4" t="s">
        <v>13</v>
      </c>
      <c r="C11" s="57" t="s">
        <v>14</v>
      </c>
      <c r="D11" s="58"/>
      <c r="F11" s="59" t="s">
        <v>15</v>
      </c>
      <c r="G11" s="60"/>
      <c r="H11" s="60"/>
      <c r="I11" s="60"/>
      <c r="J11" s="60"/>
      <c r="K11" s="61"/>
    </row>
    <row r="12" spans="2:11" ht="30" customHeight="1" x14ac:dyDescent="0.25">
      <c r="B12" s="4" t="s">
        <v>16</v>
      </c>
      <c r="C12" s="68">
        <f>SUM(H19:H145)</f>
        <v>170000459750.50003</v>
      </c>
      <c r="D12" s="69"/>
      <c r="F12" s="62"/>
      <c r="G12" s="63"/>
      <c r="H12" s="63"/>
      <c r="I12" s="63"/>
      <c r="J12" s="63"/>
      <c r="K12" s="64"/>
    </row>
    <row r="13" spans="2:11" ht="30" customHeight="1" x14ac:dyDescent="0.25">
      <c r="B13" s="4" t="s">
        <v>17</v>
      </c>
      <c r="C13" s="68" t="s">
        <v>18</v>
      </c>
      <c r="D13" s="69"/>
      <c r="F13" s="62"/>
      <c r="G13" s="63"/>
      <c r="H13" s="63"/>
      <c r="I13" s="63"/>
      <c r="J13" s="63"/>
      <c r="K13" s="64"/>
    </row>
    <row r="14" spans="2:11" ht="30" customHeight="1" x14ac:dyDescent="0.25">
      <c r="B14" s="4" t="s">
        <v>19</v>
      </c>
      <c r="C14" s="68" t="s">
        <v>18</v>
      </c>
      <c r="D14" s="69"/>
      <c r="F14" s="62"/>
      <c r="G14" s="63"/>
      <c r="H14" s="63"/>
      <c r="I14" s="63"/>
      <c r="J14" s="63"/>
      <c r="K14" s="64"/>
    </row>
    <row r="15" spans="2:11" ht="30" customHeight="1" thickBot="1" x14ac:dyDescent="0.3">
      <c r="B15" s="6" t="s">
        <v>20</v>
      </c>
      <c r="C15" s="70" t="s">
        <v>21</v>
      </c>
      <c r="D15" s="71"/>
      <c r="F15" s="65"/>
      <c r="G15" s="66"/>
      <c r="H15" s="66"/>
      <c r="I15" s="66"/>
      <c r="J15" s="66"/>
      <c r="K15" s="67"/>
    </row>
    <row r="17" spans="2:15" ht="15.75" thickBot="1" x14ac:dyDescent="0.3">
      <c r="B17" s="1" t="s">
        <v>22</v>
      </c>
    </row>
    <row r="18" spans="2:15" ht="75" customHeight="1" x14ac:dyDescent="0.25">
      <c r="B18" s="7" t="s">
        <v>23</v>
      </c>
      <c r="C18" s="8" t="s">
        <v>24</v>
      </c>
      <c r="D18" s="8" t="s">
        <v>25</v>
      </c>
      <c r="E18" s="8" t="s">
        <v>26</v>
      </c>
      <c r="F18" s="8" t="s">
        <v>27</v>
      </c>
      <c r="G18" s="8" t="s">
        <v>28</v>
      </c>
      <c r="H18" s="8" t="s">
        <v>29</v>
      </c>
      <c r="I18" s="8" t="s">
        <v>30</v>
      </c>
      <c r="J18" s="8" t="s">
        <v>31</v>
      </c>
      <c r="K18" s="8" t="s">
        <v>32</v>
      </c>
      <c r="L18" s="9" t="s">
        <v>33</v>
      </c>
    </row>
    <row r="19" spans="2:15" s="18" customFormat="1" ht="30" customHeight="1" x14ac:dyDescent="0.25">
      <c r="B19" s="10">
        <v>22101800</v>
      </c>
      <c r="C19" s="11" t="s">
        <v>34</v>
      </c>
      <c r="D19" s="12" t="s">
        <v>35</v>
      </c>
      <c r="E19" s="12">
        <v>4</v>
      </c>
      <c r="F19" s="12" t="s">
        <v>36</v>
      </c>
      <c r="G19" s="13" t="s">
        <v>37</v>
      </c>
      <c r="H19" s="14">
        <f>50000*1000</f>
        <v>50000000</v>
      </c>
      <c r="I19" s="15">
        <f t="shared" ref="I19:I43" si="0">H19</f>
        <v>50000000</v>
      </c>
      <c r="J19" s="13" t="s">
        <v>18</v>
      </c>
      <c r="K19" s="13" t="s">
        <v>18</v>
      </c>
      <c r="L19" s="16" t="s">
        <v>14</v>
      </c>
      <c r="M19" s="17"/>
      <c r="N19" s="2"/>
      <c r="O19" s="2"/>
    </row>
    <row r="20" spans="2:15" s="18" customFormat="1" ht="30" customHeight="1" x14ac:dyDescent="0.25">
      <c r="B20" s="10">
        <v>23101500</v>
      </c>
      <c r="C20" s="11" t="s">
        <v>38</v>
      </c>
      <c r="D20" s="12" t="s">
        <v>39</v>
      </c>
      <c r="E20" s="12">
        <v>3</v>
      </c>
      <c r="F20" s="12" t="s">
        <v>36</v>
      </c>
      <c r="G20" s="13" t="s">
        <v>37</v>
      </c>
      <c r="H20" s="14">
        <f>(23000+1100)*1000</f>
        <v>24100000</v>
      </c>
      <c r="I20" s="15">
        <f t="shared" si="0"/>
        <v>24100000</v>
      </c>
      <c r="J20" s="13" t="s">
        <v>18</v>
      </c>
      <c r="K20" s="13" t="s">
        <v>18</v>
      </c>
      <c r="L20" s="16" t="s">
        <v>14</v>
      </c>
      <c r="M20" s="2"/>
      <c r="N20" s="2"/>
      <c r="O20" s="2"/>
    </row>
    <row r="21" spans="2:15" s="18" customFormat="1" ht="30" customHeight="1" x14ac:dyDescent="0.25">
      <c r="B21" s="10">
        <v>23151600</v>
      </c>
      <c r="C21" s="11" t="s">
        <v>40</v>
      </c>
      <c r="D21" s="12" t="s">
        <v>39</v>
      </c>
      <c r="E21" s="12">
        <v>3</v>
      </c>
      <c r="F21" s="12" t="s">
        <v>36</v>
      </c>
      <c r="G21" s="13" t="s">
        <v>37</v>
      </c>
      <c r="H21" s="14">
        <f>10800*1000</f>
        <v>10800000</v>
      </c>
      <c r="I21" s="15">
        <f t="shared" si="0"/>
        <v>10800000</v>
      </c>
      <c r="J21" s="13" t="s">
        <v>18</v>
      </c>
      <c r="K21" s="13" t="s">
        <v>18</v>
      </c>
      <c r="L21" s="16" t="s">
        <v>14</v>
      </c>
      <c r="M21" s="2"/>
      <c r="N21" s="2"/>
      <c r="O21" s="2"/>
    </row>
    <row r="22" spans="2:15" s="18" customFormat="1" ht="30" customHeight="1" x14ac:dyDescent="0.25">
      <c r="B22" s="10">
        <v>24101600</v>
      </c>
      <c r="C22" s="11" t="s">
        <v>41</v>
      </c>
      <c r="D22" s="12" t="s">
        <v>42</v>
      </c>
      <c r="E22" s="12">
        <v>6</v>
      </c>
      <c r="F22" s="12" t="s">
        <v>36</v>
      </c>
      <c r="G22" s="13" t="s">
        <v>37</v>
      </c>
      <c r="H22" s="14">
        <f>3000*1000</f>
        <v>3000000</v>
      </c>
      <c r="I22" s="15">
        <f t="shared" si="0"/>
        <v>3000000</v>
      </c>
      <c r="J22" s="13" t="s">
        <v>18</v>
      </c>
      <c r="K22" s="13" t="s">
        <v>18</v>
      </c>
      <c r="L22" s="16" t="s">
        <v>14</v>
      </c>
      <c r="M22" s="2"/>
      <c r="N22" s="2"/>
      <c r="O22" s="2"/>
    </row>
    <row r="23" spans="2:15" s="18" customFormat="1" ht="30" customHeight="1" x14ac:dyDescent="0.25">
      <c r="B23" s="10">
        <v>24101600</v>
      </c>
      <c r="C23" s="11" t="s">
        <v>43</v>
      </c>
      <c r="D23" s="12" t="s">
        <v>39</v>
      </c>
      <c r="E23" s="12">
        <v>3</v>
      </c>
      <c r="F23" s="12" t="s">
        <v>36</v>
      </c>
      <c r="G23" s="13" t="s">
        <v>37</v>
      </c>
      <c r="H23" s="14">
        <f>35000*1000</f>
        <v>35000000</v>
      </c>
      <c r="I23" s="15">
        <f t="shared" si="0"/>
        <v>35000000</v>
      </c>
      <c r="J23" s="13" t="s">
        <v>18</v>
      </c>
      <c r="K23" s="13" t="s">
        <v>18</v>
      </c>
      <c r="L23" s="16" t="s">
        <v>14</v>
      </c>
      <c r="M23" s="2"/>
      <c r="N23" s="2"/>
      <c r="O23" s="2"/>
    </row>
    <row r="24" spans="2:15" s="18" customFormat="1" ht="30" customHeight="1" x14ac:dyDescent="0.25">
      <c r="B24" s="10">
        <v>24102000</v>
      </c>
      <c r="C24" s="11" t="s">
        <v>44</v>
      </c>
      <c r="D24" s="12" t="s">
        <v>39</v>
      </c>
      <c r="E24" s="12">
        <v>3</v>
      </c>
      <c r="F24" s="12" t="s">
        <v>36</v>
      </c>
      <c r="G24" s="13" t="s">
        <v>37</v>
      </c>
      <c r="H24" s="14">
        <f>4924*1000</f>
        <v>4924000</v>
      </c>
      <c r="I24" s="15">
        <f t="shared" si="0"/>
        <v>4924000</v>
      </c>
      <c r="J24" s="13" t="s">
        <v>18</v>
      </c>
      <c r="K24" s="13" t="s">
        <v>18</v>
      </c>
      <c r="L24" s="16" t="s">
        <v>14</v>
      </c>
      <c r="M24" s="2"/>
      <c r="N24" s="2"/>
      <c r="O24" s="2"/>
    </row>
    <row r="25" spans="2:15" s="18" customFormat="1" ht="30" customHeight="1" x14ac:dyDescent="0.25">
      <c r="B25" s="19">
        <v>25101500</v>
      </c>
      <c r="C25" s="11" t="s">
        <v>45</v>
      </c>
      <c r="D25" s="12" t="s">
        <v>42</v>
      </c>
      <c r="E25" s="12">
        <v>3</v>
      </c>
      <c r="F25" s="12" t="s">
        <v>36</v>
      </c>
      <c r="G25" s="13" t="s">
        <v>37</v>
      </c>
      <c r="H25" s="20">
        <f>422800*1000</f>
        <v>422800000</v>
      </c>
      <c r="I25" s="15">
        <f t="shared" si="0"/>
        <v>422800000</v>
      </c>
      <c r="J25" s="13" t="s">
        <v>18</v>
      </c>
      <c r="K25" s="13" t="s">
        <v>18</v>
      </c>
      <c r="L25" s="16" t="s">
        <v>14</v>
      </c>
      <c r="M25" s="2"/>
      <c r="N25" s="2"/>
      <c r="O25" s="2"/>
    </row>
    <row r="26" spans="2:15" s="18" customFormat="1" ht="30" customHeight="1" x14ac:dyDescent="0.25">
      <c r="B26" s="10">
        <v>27112900</v>
      </c>
      <c r="C26" s="11" t="s">
        <v>46</v>
      </c>
      <c r="D26" s="12" t="s">
        <v>39</v>
      </c>
      <c r="E26" s="12">
        <v>3</v>
      </c>
      <c r="F26" s="12" t="s">
        <v>36</v>
      </c>
      <c r="G26" s="13" t="s">
        <v>37</v>
      </c>
      <c r="H26" s="14">
        <f>55000*1000</f>
        <v>55000000</v>
      </c>
      <c r="I26" s="15">
        <f t="shared" si="0"/>
        <v>55000000</v>
      </c>
      <c r="J26" s="13" t="s">
        <v>18</v>
      </c>
      <c r="K26" s="13" t="s">
        <v>18</v>
      </c>
      <c r="L26" s="16" t="s">
        <v>14</v>
      </c>
      <c r="M26" s="2"/>
      <c r="N26" s="2"/>
      <c r="O26" s="2"/>
    </row>
    <row r="27" spans="2:15" s="18" customFormat="1" ht="30" customHeight="1" x14ac:dyDescent="0.25">
      <c r="B27" s="10">
        <v>30191500</v>
      </c>
      <c r="C27" s="11" t="s">
        <v>47</v>
      </c>
      <c r="D27" s="12" t="s">
        <v>39</v>
      </c>
      <c r="E27" s="12">
        <v>3</v>
      </c>
      <c r="F27" s="12" t="s">
        <v>36</v>
      </c>
      <c r="G27" s="13" t="s">
        <v>37</v>
      </c>
      <c r="H27" s="14">
        <f>(4622+79000)*1000</f>
        <v>83622000</v>
      </c>
      <c r="I27" s="15">
        <f t="shared" si="0"/>
        <v>83622000</v>
      </c>
      <c r="J27" s="13" t="s">
        <v>18</v>
      </c>
      <c r="K27" s="13" t="s">
        <v>18</v>
      </c>
      <c r="L27" s="16" t="s">
        <v>14</v>
      </c>
      <c r="M27" s="2"/>
      <c r="N27" s="2"/>
      <c r="O27" s="2"/>
    </row>
    <row r="28" spans="2:15" s="18" customFormat="1" ht="30" customHeight="1" x14ac:dyDescent="0.25">
      <c r="B28" s="10">
        <v>30241600</v>
      </c>
      <c r="C28" s="11" t="s">
        <v>48</v>
      </c>
      <c r="D28" s="12" t="s">
        <v>39</v>
      </c>
      <c r="E28" s="12">
        <v>4</v>
      </c>
      <c r="F28" s="12" t="s">
        <v>36</v>
      </c>
      <c r="G28" s="13" t="s">
        <v>37</v>
      </c>
      <c r="H28" s="14">
        <f>(51300+5000)*1000</f>
        <v>56300000</v>
      </c>
      <c r="I28" s="15">
        <f t="shared" si="0"/>
        <v>56300000</v>
      </c>
      <c r="J28" s="13" t="s">
        <v>18</v>
      </c>
      <c r="K28" s="13" t="s">
        <v>18</v>
      </c>
      <c r="L28" s="16" t="s">
        <v>14</v>
      </c>
      <c r="M28" s="2"/>
      <c r="N28" s="2"/>
      <c r="O28" s="2"/>
    </row>
    <row r="29" spans="2:15" s="18" customFormat="1" ht="30" customHeight="1" x14ac:dyDescent="0.25">
      <c r="B29" s="10">
        <v>39111700</v>
      </c>
      <c r="C29" s="11" t="s">
        <v>49</v>
      </c>
      <c r="D29" s="12" t="s">
        <v>39</v>
      </c>
      <c r="E29" s="12">
        <v>4</v>
      </c>
      <c r="F29" s="12" t="s">
        <v>36</v>
      </c>
      <c r="G29" s="13" t="s">
        <v>37</v>
      </c>
      <c r="H29" s="14">
        <f>51800*1000</f>
        <v>51800000</v>
      </c>
      <c r="I29" s="15">
        <f t="shared" si="0"/>
        <v>51800000</v>
      </c>
      <c r="J29" s="13" t="s">
        <v>18</v>
      </c>
      <c r="K29" s="13" t="s">
        <v>18</v>
      </c>
      <c r="L29" s="16" t="s">
        <v>14</v>
      </c>
      <c r="M29" s="2"/>
      <c r="N29" s="2"/>
      <c r="O29" s="2"/>
    </row>
    <row r="30" spans="2:15" s="18" customFormat="1" ht="30" customHeight="1" x14ac:dyDescent="0.25">
      <c r="B30" s="10">
        <v>39112400</v>
      </c>
      <c r="C30" s="11" t="s">
        <v>50</v>
      </c>
      <c r="D30" s="12" t="s">
        <v>39</v>
      </c>
      <c r="E30" s="12">
        <v>4</v>
      </c>
      <c r="F30" s="12" t="s">
        <v>36</v>
      </c>
      <c r="G30" s="13" t="s">
        <v>37</v>
      </c>
      <c r="H30" s="14">
        <f>62000*1000</f>
        <v>62000000</v>
      </c>
      <c r="I30" s="15">
        <f t="shared" si="0"/>
        <v>62000000</v>
      </c>
      <c r="J30" s="13" t="s">
        <v>18</v>
      </c>
      <c r="K30" s="13" t="s">
        <v>18</v>
      </c>
      <c r="L30" s="16" t="s">
        <v>14</v>
      </c>
      <c r="M30" s="2"/>
      <c r="N30" s="2"/>
      <c r="O30" s="2"/>
    </row>
    <row r="31" spans="2:15" s="18" customFormat="1" ht="30" customHeight="1" x14ac:dyDescent="0.25">
      <c r="B31" s="10">
        <v>39121600</v>
      </c>
      <c r="C31" s="11" t="s">
        <v>51</v>
      </c>
      <c r="D31" s="12" t="s">
        <v>39</v>
      </c>
      <c r="E31" s="12">
        <v>4</v>
      </c>
      <c r="F31" s="12" t="s">
        <v>36</v>
      </c>
      <c r="G31" s="13" t="s">
        <v>37</v>
      </c>
      <c r="H31" s="14">
        <f>(20000+21000)*1000</f>
        <v>41000000</v>
      </c>
      <c r="I31" s="15">
        <f t="shared" si="0"/>
        <v>41000000</v>
      </c>
      <c r="J31" s="13" t="s">
        <v>18</v>
      </c>
      <c r="K31" s="13" t="s">
        <v>18</v>
      </c>
      <c r="L31" s="16" t="s">
        <v>14</v>
      </c>
      <c r="M31" s="2"/>
      <c r="N31" s="2"/>
      <c r="O31" s="2"/>
    </row>
    <row r="32" spans="2:15" s="18" customFormat="1" ht="30" customHeight="1" x14ac:dyDescent="0.25">
      <c r="B32" s="10">
        <v>40101900</v>
      </c>
      <c r="C32" s="11" t="s">
        <v>52</v>
      </c>
      <c r="D32" s="12" t="s">
        <v>39</v>
      </c>
      <c r="E32" s="12">
        <v>4</v>
      </c>
      <c r="F32" s="12" t="s">
        <v>36</v>
      </c>
      <c r="G32" s="13" t="s">
        <v>37</v>
      </c>
      <c r="H32" s="14">
        <f>30450*1000</f>
        <v>30450000</v>
      </c>
      <c r="I32" s="15">
        <f t="shared" si="0"/>
        <v>30450000</v>
      </c>
      <c r="J32" s="13" t="s">
        <v>18</v>
      </c>
      <c r="K32" s="13" t="s">
        <v>18</v>
      </c>
      <c r="L32" s="16" t="s">
        <v>14</v>
      </c>
      <c r="M32" s="2"/>
      <c r="N32" s="2"/>
      <c r="O32" s="2"/>
    </row>
    <row r="33" spans="2:15" s="18" customFormat="1" ht="30" customHeight="1" x14ac:dyDescent="0.25">
      <c r="B33" s="10">
        <v>41114600</v>
      </c>
      <c r="C33" s="21" t="s">
        <v>53</v>
      </c>
      <c r="D33" s="12" t="s">
        <v>35</v>
      </c>
      <c r="E33" s="12">
        <v>6</v>
      </c>
      <c r="F33" s="12" t="s">
        <v>36</v>
      </c>
      <c r="G33" s="13" t="s">
        <v>37</v>
      </c>
      <c r="H33" s="14">
        <f>50000*1000</f>
        <v>50000000</v>
      </c>
      <c r="I33" s="15">
        <f t="shared" si="0"/>
        <v>50000000</v>
      </c>
      <c r="J33" s="13" t="s">
        <v>18</v>
      </c>
      <c r="K33" s="13" t="s">
        <v>18</v>
      </c>
      <c r="L33" s="16" t="s">
        <v>14</v>
      </c>
      <c r="M33" s="2"/>
      <c r="N33" s="2"/>
      <c r="O33" s="2"/>
    </row>
    <row r="34" spans="2:15" s="18" customFormat="1" ht="30" customHeight="1" x14ac:dyDescent="0.25">
      <c r="B34" s="10">
        <v>41111500</v>
      </c>
      <c r="C34" s="11" t="s">
        <v>54</v>
      </c>
      <c r="D34" s="12" t="s">
        <v>39</v>
      </c>
      <c r="E34" s="12">
        <v>4</v>
      </c>
      <c r="F34" s="12" t="s">
        <v>36</v>
      </c>
      <c r="G34" s="13" t="s">
        <v>37</v>
      </c>
      <c r="H34" s="20">
        <f>(43800+30000)*1000</f>
        <v>73800000</v>
      </c>
      <c r="I34" s="15">
        <f t="shared" si="0"/>
        <v>73800000</v>
      </c>
      <c r="J34" s="13" t="s">
        <v>18</v>
      </c>
      <c r="K34" s="13" t="s">
        <v>18</v>
      </c>
      <c r="L34" s="16" t="s">
        <v>14</v>
      </c>
      <c r="M34" s="2"/>
      <c r="N34" s="2"/>
      <c r="O34" s="2"/>
    </row>
    <row r="35" spans="2:15" s="18" customFormat="1" ht="30" customHeight="1" x14ac:dyDescent="0.25">
      <c r="B35" s="19">
        <v>41111500</v>
      </c>
      <c r="C35" s="11" t="s">
        <v>55</v>
      </c>
      <c r="D35" s="12" t="s">
        <v>42</v>
      </c>
      <c r="E35" s="12">
        <v>6</v>
      </c>
      <c r="F35" s="12" t="s">
        <v>36</v>
      </c>
      <c r="G35" s="12" t="s">
        <v>37</v>
      </c>
      <c r="H35" s="14">
        <f>30000*1000</f>
        <v>30000000</v>
      </c>
      <c r="I35" s="15">
        <f t="shared" si="0"/>
        <v>30000000</v>
      </c>
      <c r="J35" s="12" t="s">
        <v>18</v>
      </c>
      <c r="K35" s="12" t="s">
        <v>18</v>
      </c>
      <c r="L35" s="16" t="s">
        <v>14</v>
      </c>
      <c r="M35" s="2"/>
      <c r="N35" s="2"/>
      <c r="O35" s="2"/>
    </row>
    <row r="36" spans="2:15" s="18" customFormat="1" ht="30" customHeight="1" x14ac:dyDescent="0.25">
      <c r="B36" s="10">
        <v>41111601</v>
      </c>
      <c r="C36" s="11" t="s">
        <v>56</v>
      </c>
      <c r="D36" s="12" t="s">
        <v>42</v>
      </c>
      <c r="E36" s="12">
        <v>6</v>
      </c>
      <c r="F36" s="12" t="s">
        <v>36</v>
      </c>
      <c r="G36" s="13" t="s">
        <v>37</v>
      </c>
      <c r="H36" s="14">
        <f>8000*1000</f>
        <v>8000000</v>
      </c>
      <c r="I36" s="15">
        <f t="shared" si="0"/>
        <v>8000000</v>
      </c>
      <c r="J36" s="13" t="s">
        <v>18</v>
      </c>
      <c r="K36" s="13" t="s">
        <v>18</v>
      </c>
      <c r="L36" s="16" t="s">
        <v>14</v>
      </c>
      <c r="M36" s="2"/>
      <c r="N36" s="2"/>
      <c r="O36" s="2"/>
    </row>
    <row r="37" spans="2:15" s="18" customFormat="1" ht="30" customHeight="1" x14ac:dyDescent="0.25">
      <c r="B37" s="10">
        <v>41111951</v>
      </c>
      <c r="C37" s="11" t="s">
        <v>57</v>
      </c>
      <c r="D37" s="12" t="s">
        <v>39</v>
      </c>
      <c r="E37" s="12">
        <v>3</v>
      </c>
      <c r="F37" s="12" t="s">
        <v>36</v>
      </c>
      <c r="G37" s="13" t="s">
        <v>37</v>
      </c>
      <c r="H37" s="14">
        <f>54311*1000</f>
        <v>54311000</v>
      </c>
      <c r="I37" s="15">
        <f t="shared" si="0"/>
        <v>54311000</v>
      </c>
      <c r="J37" s="13" t="s">
        <v>18</v>
      </c>
      <c r="K37" s="13" t="s">
        <v>18</v>
      </c>
      <c r="L37" s="16" t="s">
        <v>14</v>
      </c>
      <c r="M37" s="2"/>
      <c r="N37" s="2"/>
      <c r="O37" s="2"/>
    </row>
    <row r="38" spans="2:15" s="18" customFormat="1" ht="30" customHeight="1" x14ac:dyDescent="0.25">
      <c r="B38" s="10">
        <v>41115309</v>
      </c>
      <c r="C38" s="11" t="s">
        <v>58</v>
      </c>
      <c r="D38" s="12" t="s">
        <v>39</v>
      </c>
      <c r="E38" s="12">
        <v>4</v>
      </c>
      <c r="F38" s="12" t="s">
        <v>36</v>
      </c>
      <c r="G38" s="13" t="s">
        <v>37</v>
      </c>
      <c r="H38" s="14">
        <f>2500*1000</f>
        <v>2500000</v>
      </c>
      <c r="I38" s="15">
        <f t="shared" si="0"/>
        <v>2500000</v>
      </c>
      <c r="J38" s="13" t="s">
        <v>18</v>
      </c>
      <c r="K38" s="13" t="s">
        <v>18</v>
      </c>
      <c r="L38" s="16" t="s">
        <v>14</v>
      </c>
      <c r="M38" s="2"/>
      <c r="N38" s="2"/>
      <c r="O38" s="2"/>
    </row>
    <row r="39" spans="2:15" s="18" customFormat="1" ht="30" customHeight="1" x14ac:dyDescent="0.25">
      <c r="B39" s="10">
        <v>43191500</v>
      </c>
      <c r="C39" s="11" t="s">
        <v>59</v>
      </c>
      <c r="D39" s="12" t="s">
        <v>35</v>
      </c>
      <c r="E39" s="12">
        <v>7</v>
      </c>
      <c r="F39" s="12" t="s">
        <v>36</v>
      </c>
      <c r="G39" s="13" t="s">
        <v>37</v>
      </c>
      <c r="H39" s="14">
        <f>491759*1000</f>
        <v>491759000</v>
      </c>
      <c r="I39" s="15">
        <f t="shared" si="0"/>
        <v>491759000</v>
      </c>
      <c r="J39" s="13" t="s">
        <v>18</v>
      </c>
      <c r="K39" s="13" t="s">
        <v>18</v>
      </c>
      <c r="L39" s="16" t="s">
        <v>14</v>
      </c>
      <c r="M39" s="2"/>
      <c r="N39" s="2"/>
      <c r="O39" s="2"/>
    </row>
    <row r="40" spans="2:15" s="18" customFormat="1" ht="30" customHeight="1" x14ac:dyDescent="0.25">
      <c r="B40" s="10">
        <v>43201829</v>
      </c>
      <c r="C40" s="21" t="s">
        <v>60</v>
      </c>
      <c r="D40" s="12" t="s">
        <v>39</v>
      </c>
      <c r="E40" s="12">
        <v>3</v>
      </c>
      <c r="F40" s="12" t="s">
        <v>36</v>
      </c>
      <c r="G40" s="13" t="s">
        <v>37</v>
      </c>
      <c r="H40" s="14">
        <f>11800*1000</f>
        <v>11800000</v>
      </c>
      <c r="I40" s="15">
        <f t="shared" si="0"/>
        <v>11800000</v>
      </c>
      <c r="J40" s="13" t="s">
        <v>18</v>
      </c>
      <c r="K40" s="13" t="s">
        <v>18</v>
      </c>
      <c r="L40" s="16" t="s">
        <v>14</v>
      </c>
      <c r="M40" s="2"/>
      <c r="N40" s="2"/>
      <c r="O40" s="2"/>
    </row>
    <row r="41" spans="2:15" s="18" customFormat="1" ht="30" customHeight="1" x14ac:dyDescent="0.25">
      <c r="B41" s="10">
        <v>43211500</v>
      </c>
      <c r="C41" s="21" t="s">
        <v>61</v>
      </c>
      <c r="D41" s="12" t="s">
        <v>35</v>
      </c>
      <c r="E41" s="12">
        <v>36</v>
      </c>
      <c r="F41" s="12" t="s">
        <v>36</v>
      </c>
      <c r="G41" s="13" t="s">
        <v>37</v>
      </c>
      <c r="H41" s="14">
        <f>(35000+1642850+13200+28500+4786440+24000)*1000</f>
        <v>6529990000</v>
      </c>
      <c r="I41" s="15">
        <f t="shared" si="0"/>
        <v>6529990000</v>
      </c>
      <c r="J41" s="13" t="s">
        <v>18</v>
      </c>
      <c r="K41" s="13" t="s">
        <v>18</v>
      </c>
      <c r="L41" s="16" t="s">
        <v>14</v>
      </c>
      <c r="M41" s="2"/>
      <c r="N41" s="2"/>
      <c r="O41" s="2"/>
    </row>
    <row r="42" spans="2:15" s="18" customFormat="1" ht="30" customHeight="1" x14ac:dyDescent="0.25">
      <c r="B42" s="10">
        <v>43212100</v>
      </c>
      <c r="C42" s="21" t="s">
        <v>62</v>
      </c>
      <c r="D42" s="12" t="s">
        <v>35</v>
      </c>
      <c r="E42" s="12">
        <v>4</v>
      </c>
      <c r="F42" s="12" t="s">
        <v>36</v>
      </c>
      <c r="G42" s="13" t="s">
        <v>37</v>
      </c>
      <c r="H42" s="14">
        <f>17900*1000</f>
        <v>17900000</v>
      </c>
      <c r="I42" s="15">
        <f t="shared" si="0"/>
        <v>17900000</v>
      </c>
      <c r="J42" s="13" t="s">
        <v>18</v>
      </c>
      <c r="K42" s="13" t="s">
        <v>18</v>
      </c>
      <c r="L42" s="16" t="s">
        <v>14</v>
      </c>
      <c r="M42" s="2"/>
      <c r="N42" s="2"/>
      <c r="O42" s="2"/>
    </row>
    <row r="43" spans="2:15" s="18" customFormat="1" ht="30" customHeight="1" x14ac:dyDescent="0.25">
      <c r="B43" s="10">
        <v>43221525</v>
      </c>
      <c r="C43" s="11" t="s">
        <v>63</v>
      </c>
      <c r="D43" s="12" t="s">
        <v>35</v>
      </c>
      <c r="E43" s="12">
        <v>4</v>
      </c>
      <c r="F43" s="12" t="s">
        <v>36</v>
      </c>
      <c r="G43" s="13" t="s">
        <v>37</v>
      </c>
      <c r="H43" s="14">
        <f>990000*1000</f>
        <v>990000000</v>
      </c>
      <c r="I43" s="15">
        <f t="shared" si="0"/>
        <v>990000000</v>
      </c>
      <c r="J43" s="13" t="s">
        <v>18</v>
      </c>
      <c r="K43" s="13" t="s">
        <v>18</v>
      </c>
      <c r="L43" s="16" t="s">
        <v>14</v>
      </c>
      <c r="M43" s="2"/>
      <c r="N43" s="2"/>
      <c r="O43" s="2"/>
    </row>
    <row r="44" spans="2:15" s="18" customFormat="1" ht="30" customHeight="1" x14ac:dyDescent="0.25">
      <c r="B44" s="10">
        <v>43222500</v>
      </c>
      <c r="C44" s="21" t="s">
        <v>64</v>
      </c>
      <c r="D44" s="12" t="s">
        <v>65</v>
      </c>
      <c r="E44" s="12">
        <v>36</v>
      </c>
      <c r="F44" s="12" t="s">
        <v>36</v>
      </c>
      <c r="G44" s="13" t="s">
        <v>37</v>
      </c>
      <c r="H44" s="14">
        <f>771194*1000</f>
        <v>771194000</v>
      </c>
      <c r="I44" s="15">
        <f>435000*1000</f>
        <v>435000000</v>
      </c>
      <c r="J44" s="13" t="s">
        <v>18</v>
      </c>
      <c r="K44" s="13" t="s">
        <v>18</v>
      </c>
      <c r="L44" s="16" t="s">
        <v>14</v>
      </c>
      <c r="M44" s="2"/>
      <c r="N44" s="2"/>
      <c r="O44" s="2"/>
    </row>
    <row r="45" spans="2:15" s="18" customFormat="1" ht="30" customHeight="1" x14ac:dyDescent="0.25">
      <c r="B45" s="10">
        <v>43222609</v>
      </c>
      <c r="C45" s="21" t="s">
        <v>66</v>
      </c>
      <c r="D45" s="12" t="s">
        <v>67</v>
      </c>
      <c r="E45" s="12">
        <v>5</v>
      </c>
      <c r="F45" s="12" t="s">
        <v>36</v>
      </c>
      <c r="G45" s="13" t="s">
        <v>37</v>
      </c>
      <c r="H45" s="14">
        <f>(376751+1598217)*1000</f>
        <v>1974968000</v>
      </c>
      <c r="I45" s="15">
        <f t="shared" ref="I45:I54" si="1">H45</f>
        <v>1974968000</v>
      </c>
      <c r="J45" s="13" t="s">
        <v>18</v>
      </c>
      <c r="K45" s="13" t="s">
        <v>18</v>
      </c>
      <c r="L45" s="16" t="s">
        <v>14</v>
      </c>
      <c r="M45" s="2"/>
      <c r="N45" s="2"/>
      <c r="O45" s="2"/>
    </row>
    <row r="46" spans="2:15" s="18" customFormat="1" ht="30" customHeight="1" x14ac:dyDescent="0.25">
      <c r="B46" s="10">
        <v>43231500</v>
      </c>
      <c r="C46" s="11" t="s">
        <v>68</v>
      </c>
      <c r="D46" s="12" t="s">
        <v>42</v>
      </c>
      <c r="E46" s="12">
        <v>36</v>
      </c>
      <c r="F46" s="12" t="s">
        <v>36</v>
      </c>
      <c r="G46" s="13" t="s">
        <v>37</v>
      </c>
      <c r="H46" s="14">
        <f>11769574*1000</f>
        <v>11769574000</v>
      </c>
      <c r="I46" s="15">
        <f t="shared" si="1"/>
        <v>11769574000</v>
      </c>
      <c r="J46" s="13" t="s">
        <v>18</v>
      </c>
      <c r="K46" s="13" t="s">
        <v>18</v>
      </c>
      <c r="L46" s="16" t="s">
        <v>14</v>
      </c>
      <c r="M46" s="2"/>
      <c r="N46" s="2"/>
      <c r="O46" s="2"/>
    </row>
    <row r="47" spans="2:15" s="18" customFormat="1" ht="30" customHeight="1" x14ac:dyDescent="0.25">
      <c r="B47" s="10">
        <v>44101500</v>
      </c>
      <c r="C47" s="21" t="s">
        <v>69</v>
      </c>
      <c r="D47" s="12" t="s">
        <v>70</v>
      </c>
      <c r="E47" s="12">
        <v>12</v>
      </c>
      <c r="F47" s="12" t="s">
        <v>36</v>
      </c>
      <c r="G47" s="13" t="s">
        <v>37</v>
      </c>
      <c r="H47" s="14">
        <f>(250000+255000+8900)*1000</f>
        <v>513900000</v>
      </c>
      <c r="I47" s="15">
        <f t="shared" si="1"/>
        <v>513900000</v>
      </c>
      <c r="J47" s="13" t="s">
        <v>18</v>
      </c>
      <c r="K47" s="13" t="s">
        <v>18</v>
      </c>
      <c r="L47" s="16" t="s">
        <v>14</v>
      </c>
      <c r="M47" s="2"/>
      <c r="N47" s="2"/>
      <c r="O47" s="2"/>
    </row>
    <row r="48" spans="2:15" s="18" customFormat="1" ht="30" customHeight="1" x14ac:dyDescent="0.25">
      <c r="B48" s="10">
        <v>44101503</v>
      </c>
      <c r="C48" s="11" t="s">
        <v>71</v>
      </c>
      <c r="D48" s="12" t="s">
        <v>42</v>
      </c>
      <c r="E48" s="12">
        <v>11</v>
      </c>
      <c r="F48" s="12" t="s">
        <v>36</v>
      </c>
      <c r="G48" s="13" t="s">
        <v>37</v>
      </c>
      <c r="H48" s="14">
        <f>276306.593*1000</f>
        <v>276306593</v>
      </c>
      <c r="I48" s="15">
        <f t="shared" si="1"/>
        <v>276306593</v>
      </c>
      <c r="J48" s="13" t="s">
        <v>18</v>
      </c>
      <c r="K48" s="13" t="s">
        <v>18</v>
      </c>
      <c r="L48" s="16" t="s">
        <v>14</v>
      </c>
      <c r="M48" s="2"/>
      <c r="N48" s="2"/>
      <c r="O48" s="2"/>
    </row>
    <row r="49" spans="2:15" s="18" customFormat="1" ht="30" customHeight="1" x14ac:dyDescent="0.25">
      <c r="B49" s="10">
        <v>44101600</v>
      </c>
      <c r="C49" s="11" t="s">
        <v>72</v>
      </c>
      <c r="D49" s="12" t="s">
        <v>39</v>
      </c>
      <c r="E49" s="12">
        <v>3</v>
      </c>
      <c r="F49" s="12" t="s">
        <v>36</v>
      </c>
      <c r="G49" s="13" t="s">
        <v>37</v>
      </c>
      <c r="H49" s="14">
        <f>(3500+1800+1650)*1000</f>
        <v>6950000</v>
      </c>
      <c r="I49" s="15">
        <f t="shared" si="1"/>
        <v>6950000</v>
      </c>
      <c r="J49" s="13" t="s">
        <v>18</v>
      </c>
      <c r="K49" s="13" t="s">
        <v>18</v>
      </c>
      <c r="L49" s="16" t="s">
        <v>14</v>
      </c>
      <c r="M49" s="2"/>
      <c r="N49" s="2"/>
      <c r="O49" s="2"/>
    </row>
    <row r="50" spans="2:15" s="18" customFormat="1" ht="30" customHeight="1" x14ac:dyDescent="0.25">
      <c r="B50" s="10">
        <v>44122000</v>
      </c>
      <c r="C50" s="11" t="s">
        <v>73</v>
      </c>
      <c r="D50" s="12" t="s">
        <v>39</v>
      </c>
      <c r="E50" s="12">
        <v>3</v>
      </c>
      <c r="F50" s="12" t="s">
        <v>36</v>
      </c>
      <c r="G50" s="13" t="s">
        <v>37</v>
      </c>
      <c r="H50" s="14">
        <f>1600*1000</f>
        <v>1600000</v>
      </c>
      <c r="I50" s="15">
        <f t="shared" si="1"/>
        <v>1600000</v>
      </c>
      <c r="J50" s="13" t="s">
        <v>18</v>
      </c>
      <c r="K50" s="13" t="s">
        <v>18</v>
      </c>
      <c r="L50" s="16" t="s">
        <v>14</v>
      </c>
      <c r="M50" s="2"/>
      <c r="N50" s="2"/>
      <c r="O50" s="2"/>
    </row>
    <row r="51" spans="2:15" s="18" customFormat="1" ht="30" customHeight="1" x14ac:dyDescent="0.25">
      <c r="B51" s="10">
        <v>45111800</v>
      </c>
      <c r="C51" s="21" t="s">
        <v>74</v>
      </c>
      <c r="D51" s="12" t="s">
        <v>67</v>
      </c>
      <c r="E51" s="12">
        <v>4</v>
      </c>
      <c r="F51" s="12" t="s">
        <v>36</v>
      </c>
      <c r="G51" s="13" t="s">
        <v>37</v>
      </c>
      <c r="H51" s="14">
        <f>(112860+10400+2000+5000+3200+1400+4000+5250)*1000</f>
        <v>144110000</v>
      </c>
      <c r="I51" s="15">
        <f t="shared" si="1"/>
        <v>144110000</v>
      </c>
      <c r="J51" s="13" t="s">
        <v>18</v>
      </c>
      <c r="K51" s="13" t="s">
        <v>18</v>
      </c>
      <c r="L51" s="16" t="s">
        <v>14</v>
      </c>
      <c r="M51" s="2"/>
      <c r="N51" s="2"/>
      <c r="O51" s="2"/>
    </row>
    <row r="52" spans="2:15" s="18" customFormat="1" ht="30" customHeight="1" x14ac:dyDescent="0.25">
      <c r="B52" s="10">
        <v>45121500</v>
      </c>
      <c r="C52" s="21" t="s">
        <v>75</v>
      </c>
      <c r="D52" s="12" t="s">
        <v>39</v>
      </c>
      <c r="E52" s="12">
        <v>4</v>
      </c>
      <c r="F52" s="12" t="s">
        <v>36</v>
      </c>
      <c r="G52" s="13" t="s">
        <v>37</v>
      </c>
      <c r="H52" s="14">
        <f>(27350+14316+18300)*1000</f>
        <v>59966000</v>
      </c>
      <c r="I52" s="15">
        <f t="shared" si="1"/>
        <v>59966000</v>
      </c>
      <c r="J52" s="13" t="s">
        <v>18</v>
      </c>
      <c r="K52" s="13" t="s">
        <v>18</v>
      </c>
      <c r="L52" s="16" t="s">
        <v>14</v>
      </c>
      <c r="M52" s="2"/>
      <c r="N52" s="2"/>
      <c r="O52" s="2"/>
    </row>
    <row r="53" spans="2:15" s="18" customFormat="1" ht="30" customHeight="1" x14ac:dyDescent="0.25">
      <c r="B53" s="10">
        <v>46171500</v>
      </c>
      <c r="C53" s="21" t="s">
        <v>76</v>
      </c>
      <c r="D53" s="12" t="s">
        <v>39</v>
      </c>
      <c r="E53" s="12">
        <v>3</v>
      </c>
      <c r="F53" s="12" t="s">
        <v>36</v>
      </c>
      <c r="G53" s="13" t="s">
        <v>37</v>
      </c>
      <c r="H53" s="14">
        <f>5000*1000</f>
        <v>5000000</v>
      </c>
      <c r="I53" s="15">
        <f t="shared" si="1"/>
        <v>5000000</v>
      </c>
      <c r="J53" s="13" t="s">
        <v>18</v>
      </c>
      <c r="K53" s="13" t="s">
        <v>18</v>
      </c>
      <c r="L53" s="16" t="s">
        <v>14</v>
      </c>
      <c r="M53" s="2"/>
      <c r="N53" s="2"/>
      <c r="O53" s="2"/>
    </row>
    <row r="54" spans="2:15" s="18" customFormat="1" ht="30" customHeight="1" x14ac:dyDescent="0.25">
      <c r="B54" s="10">
        <v>46171600</v>
      </c>
      <c r="C54" s="22" t="s">
        <v>77</v>
      </c>
      <c r="D54" s="12" t="s">
        <v>70</v>
      </c>
      <c r="E54" s="12">
        <v>12</v>
      </c>
      <c r="F54" s="12" t="s">
        <v>36</v>
      </c>
      <c r="G54" s="13" t="s">
        <v>37</v>
      </c>
      <c r="H54" s="14">
        <f>120000*1000</f>
        <v>120000000</v>
      </c>
      <c r="I54" s="15">
        <f t="shared" si="1"/>
        <v>120000000</v>
      </c>
      <c r="J54" s="13" t="s">
        <v>18</v>
      </c>
      <c r="K54" s="13" t="s">
        <v>18</v>
      </c>
      <c r="L54" s="16" t="s">
        <v>14</v>
      </c>
      <c r="M54" s="2"/>
      <c r="N54" s="2"/>
      <c r="O54" s="2"/>
    </row>
    <row r="55" spans="2:15" s="18" customFormat="1" ht="30" customHeight="1" x14ac:dyDescent="0.25">
      <c r="B55" s="10">
        <v>46171600</v>
      </c>
      <c r="C55" s="11" t="s">
        <v>78</v>
      </c>
      <c r="D55" s="12" t="s">
        <v>70</v>
      </c>
      <c r="E55" s="12">
        <v>36</v>
      </c>
      <c r="F55" s="12" t="s">
        <v>36</v>
      </c>
      <c r="G55" s="13" t="s">
        <v>37</v>
      </c>
      <c r="H55" s="14">
        <f>771194*1000</f>
        <v>771194000</v>
      </c>
      <c r="I55" s="15">
        <f>435000*1000</f>
        <v>435000000</v>
      </c>
      <c r="J55" s="13" t="s">
        <v>18</v>
      </c>
      <c r="K55" s="13" t="s">
        <v>18</v>
      </c>
      <c r="L55" s="16" t="s">
        <v>14</v>
      </c>
      <c r="M55" s="2"/>
      <c r="N55" s="2"/>
      <c r="O55" s="2"/>
    </row>
    <row r="56" spans="2:15" s="18" customFormat="1" ht="30" customHeight="1" x14ac:dyDescent="0.25">
      <c r="B56" s="10">
        <v>46171600</v>
      </c>
      <c r="C56" s="11" t="s">
        <v>79</v>
      </c>
      <c r="D56" s="12" t="s">
        <v>80</v>
      </c>
      <c r="E56" s="12">
        <v>36</v>
      </c>
      <c r="F56" s="12" t="s">
        <v>36</v>
      </c>
      <c r="G56" s="13" t="s">
        <v>37</v>
      </c>
      <c r="H56" s="14">
        <f>595000*1000</f>
        <v>595000000</v>
      </c>
      <c r="I56" s="15">
        <f>435000*1000</f>
        <v>435000000</v>
      </c>
      <c r="J56" s="13" t="s">
        <v>18</v>
      </c>
      <c r="K56" s="13" t="s">
        <v>18</v>
      </c>
      <c r="L56" s="16" t="s">
        <v>14</v>
      </c>
      <c r="M56" s="2"/>
      <c r="N56" s="2"/>
      <c r="O56" s="2"/>
    </row>
    <row r="57" spans="2:15" s="18" customFormat="1" ht="30" customHeight="1" x14ac:dyDescent="0.25">
      <c r="B57" s="10">
        <v>46171600</v>
      </c>
      <c r="C57" s="11" t="s">
        <v>81</v>
      </c>
      <c r="D57" s="12" t="s">
        <v>39</v>
      </c>
      <c r="E57" s="12">
        <v>3</v>
      </c>
      <c r="F57" s="12" t="s">
        <v>36</v>
      </c>
      <c r="G57" s="13" t="s">
        <v>37</v>
      </c>
      <c r="H57" s="14">
        <f>5500*1000</f>
        <v>5500000</v>
      </c>
      <c r="I57" s="15">
        <f t="shared" ref="I57:I102" si="2">H57</f>
        <v>5500000</v>
      </c>
      <c r="J57" s="13" t="s">
        <v>18</v>
      </c>
      <c r="K57" s="13" t="s">
        <v>18</v>
      </c>
      <c r="L57" s="16" t="s">
        <v>14</v>
      </c>
      <c r="M57" s="2"/>
      <c r="N57" s="2"/>
      <c r="O57" s="2"/>
    </row>
    <row r="58" spans="2:15" s="18" customFormat="1" ht="30" customHeight="1" x14ac:dyDescent="0.25">
      <c r="B58" s="10">
        <v>46181700</v>
      </c>
      <c r="C58" s="11" t="s">
        <v>82</v>
      </c>
      <c r="D58" s="12" t="s">
        <v>39</v>
      </c>
      <c r="E58" s="12">
        <v>3</v>
      </c>
      <c r="F58" s="12" t="s">
        <v>36</v>
      </c>
      <c r="G58" s="13" t="s">
        <v>37</v>
      </c>
      <c r="H58" s="14">
        <f>2800*1000</f>
        <v>2800000</v>
      </c>
      <c r="I58" s="15">
        <f t="shared" si="2"/>
        <v>2800000</v>
      </c>
      <c r="J58" s="13" t="s">
        <v>18</v>
      </c>
      <c r="K58" s="13" t="s">
        <v>18</v>
      </c>
      <c r="L58" s="16" t="s">
        <v>14</v>
      </c>
      <c r="M58" s="2"/>
      <c r="N58" s="2"/>
      <c r="O58" s="2"/>
    </row>
    <row r="59" spans="2:15" s="18" customFormat="1" ht="30" customHeight="1" x14ac:dyDescent="0.25">
      <c r="B59" s="10">
        <v>46191600</v>
      </c>
      <c r="C59" s="11" t="s">
        <v>83</v>
      </c>
      <c r="D59" s="12" t="s">
        <v>39</v>
      </c>
      <c r="E59" s="12">
        <v>3</v>
      </c>
      <c r="F59" s="12" t="s">
        <v>36</v>
      </c>
      <c r="G59" s="13" t="s">
        <v>37</v>
      </c>
      <c r="H59" s="14">
        <f>(18830+1600+660000)*1000</f>
        <v>680430000</v>
      </c>
      <c r="I59" s="15">
        <f t="shared" si="2"/>
        <v>680430000</v>
      </c>
      <c r="J59" s="13" t="s">
        <v>18</v>
      </c>
      <c r="K59" s="13" t="s">
        <v>18</v>
      </c>
      <c r="L59" s="16" t="s">
        <v>14</v>
      </c>
      <c r="M59" s="2"/>
      <c r="N59" s="2"/>
      <c r="O59" s="2"/>
    </row>
    <row r="60" spans="2:15" s="18" customFormat="1" ht="30" customHeight="1" x14ac:dyDescent="0.25">
      <c r="B60" s="10">
        <v>47111500</v>
      </c>
      <c r="C60" s="11" t="s">
        <v>84</v>
      </c>
      <c r="D60" s="12" t="s">
        <v>39</v>
      </c>
      <c r="E60" s="12">
        <v>4</v>
      </c>
      <c r="F60" s="12" t="s">
        <v>36</v>
      </c>
      <c r="G60" s="13" t="s">
        <v>37</v>
      </c>
      <c r="H60" s="14">
        <f>4396*1000</f>
        <v>4396000</v>
      </c>
      <c r="I60" s="15">
        <f t="shared" si="2"/>
        <v>4396000</v>
      </c>
      <c r="J60" s="13" t="s">
        <v>18</v>
      </c>
      <c r="K60" s="13" t="s">
        <v>18</v>
      </c>
      <c r="L60" s="16" t="s">
        <v>14</v>
      </c>
      <c r="M60" s="2"/>
      <c r="N60" s="2"/>
      <c r="O60" s="2"/>
    </row>
    <row r="61" spans="2:15" s="18" customFormat="1" ht="30" customHeight="1" x14ac:dyDescent="0.25">
      <c r="B61" s="10">
        <v>47121600</v>
      </c>
      <c r="C61" s="11" t="s">
        <v>85</v>
      </c>
      <c r="D61" s="12" t="s">
        <v>39</v>
      </c>
      <c r="E61" s="12">
        <v>3</v>
      </c>
      <c r="F61" s="12" t="s">
        <v>36</v>
      </c>
      <c r="G61" s="13" t="s">
        <v>37</v>
      </c>
      <c r="H61" s="14">
        <f>(500+14500+2800)*1000</f>
        <v>17800000</v>
      </c>
      <c r="I61" s="15">
        <f t="shared" si="2"/>
        <v>17800000</v>
      </c>
      <c r="J61" s="13" t="s">
        <v>18</v>
      </c>
      <c r="K61" s="13" t="s">
        <v>18</v>
      </c>
      <c r="L61" s="16" t="s">
        <v>14</v>
      </c>
      <c r="M61" s="2"/>
      <c r="N61" s="2"/>
      <c r="O61" s="2"/>
    </row>
    <row r="62" spans="2:15" s="18" customFormat="1" ht="30" customHeight="1" x14ac:dyDescent="0.25">
      <c r="B62" s="10">
        <v>47131707</v>
      </c>
      <c r="C62" s="11" t="s">
        <v>86</v>
      </c>
      <c r="D62" s="12" t="s">
        <v>39</v>
      </c>
      <c r="E62" s="12">
        <v>3</v>
      </c>
      <c r="F62" s="12" t="s">
        <v>36</v>
      </c>
      <c r="G62" s="13" t="s">
        <v>37</v>
      </c>
      <c r="H62" s="14">
        <f>15890*1000</f>
        <v>15890000</v>
      </c>
      <c r="I62" s="15">
        <f t="shared" si="2"/>
        <v>15890000</v>
      </c>
      <c r="J62" s="13" t="s">
        <v>18</v>
      </c>
      <c r="K62" s="13" t="s">
        <v>18</v>
      </c>
      <c r="L62" s="16" t="s">
        <v>14</v>
      </c>
      <c r="M62" s="2"/>
      <c r="N62" s="2"/>
      <c r="O62" s="2"/>
    </row>
    <row r="63" spans="2:15" s="18" customFormat="1" ht="30" customHeight="1" x14ac:dyDescent="0.25">
      <c r="B63" s="19">
        <v>49101608</v>
      </c>
      <c r="C63" s="23" t="s">
        <v>87</v>
      </c>
      <c r="D63" s="12" t="s">
        <v>39</v>
      </c>
      <c r="E63" s="12">
        <v>4</v>
      </c>
      <c r="F63" s="12" t="s">
        <v>36</v>
      </c>
      <c r="G63" s="12" t="s">
        <v>37</v>
      </c>
      <c r="H63" s="20">
        <f>68000*1000</f>
        <v>68000000</v>
      </c>
      <c r="I63" s="15">
        <f t="shared" si="2"/>
        <v>68000000</v>
      </c>
      <c r="J63" s="12" t="s">
        <v>18</v>
      </c>
      <c r="K63" s="12" t="s">
        <v>18</v>
      </c>
      <c r="L63" s="16" t="s">
        <v>14</v>
      </c>
      <c r="M63" s="2"/>
      <c r="N63" s="2"/>
      <c r="O63" s="2"/>
    </row>
    <row r="64" spans="2:15" s="18" customFormat="1" ht="30" customHeight="1" x14ac:dyDescent="0.25">
      <c r="B64" s="19">
        <v>49201500</v>
      </c>
      <c r="C64" s="11" t="s">
        <v>88</v>
      </c>
      <c r="D64" s="12" t="s">
        <v>39</v>
      </c>
      <c r="E64" s="12">
        <v>4</v>
      </c>
      <c r="F64" s="12" t="s">
        <v>36</v>
      </c>
      <c r="G64" s="13" t="s">
        <v>37</v>
      </c>
      <c r="H64" s="14">
        <f>(42500+6000+24000+8500+29500+2500+600)*1000</f>
        <v>113600000</v>
      </c>
      <c r="I64" s="15">
        <f t="shared" si="2"/>
        <v>113600000</v>
      </c>
      <c r="J64" s="13" t="s">
        <v>18</v>
      </c>
      <c r="K64" s="13" t="s">
        <v>18</v>
      </c>
      <c r="L64" s="16" t="s">
        <v>14</v>
      </c>
      <c r="M64" s="2"/>
      <c r="N64" s="2"/>
      <c r="O64" s="2"/>
    </row>
    <row r="65" spans="2:15" s="18" customFormat="1" ht="30" customHeight="1" x14ac:dyDescent="0.25">
      <c r="B65" s="10">
        <v>52141500</v>
      </c>
      <c r="C65" s="11" t="s">
        <v>89</v>
      </c>
      <c r="D65" s="12" t="s">
        <v>39</v>
      </c>
      <c r="E65" s="12">
        <v>3</v>
      </c>
      <c r="F65" s="12" t="s">
        <v>36</v>
      </c>
      <c r="G65" s="13" t="s">
        <v>37</v>
      </c>
      <c r="H65" s="14">
        <f>(3648+4500+800+13400+4500+11900+1749)*1000</f>
        <v>40497000</v>
      </c>
      <c r="I65" s="15">
        <f t="shared" si="2"/>
        <v>40497000</v>
      </c>
      <c r="J65" s="13" t="s">
        <v>18</v>
      </c>
      <c r="K65" s="13" t="s">
        <v>18</v>
      </c>
      <c r="L65" s="16" t="s">
        <v>14</v>
      </c>
      <c r="M65" s="2"/>
      <c r="N65" s="2"/>
      <c r="O65" s="2"/>
    </row>
    <row r="66" spans="2:15" s="18" customFormat="1" ht="30" customHeight="1" x14ac:dyDescent="0.25">
      <c r="B66" s="10">
        <v>52141802</v>
      </c>
      <c r="C66" s="11" t="s">
        <v>90</v>
      </c>
      <c r="D66" s="12" t="s">
        <v>39</v>
      </c>
      <c r="E66" s="12">
        <v>3</v>
      </c>
      <c r="F66" s="12" t="s">
        <v>36</v>
      </c>
      <c r="G66" s="13" t="s">
        <v>37</v>
      </c>
      <c r="H66" s="14">
        <f>9800*1000</f>
        <v>9800000</v>
      </c>
      <c r="I66" s="15">
        <f t="shared" si="2"/>
        <v>9800000</v>
      </c>
      <c r="J66" s="13" t="s">
        <v>18</v>
      </c>
      <c r="K66" s="13" t="s">
        <v>18</v>
      </c>
      <c r="L66" s="16" t="s">
        <v>14</v>
      </c>
      <c r="M66" s="2"/>
      <c r="N66" s="2"/>
      <c r="O66" s="2"/>
    </row>
    <row r="67" spans="2:15" s="18" customFormat="1" ht="30" customHeight="1" x14ac:dyDescent="0.25">
      <c r="B67" s="10">
        <v>52161500</v>
      </c>
      <c r="C67" s="11" t="s">
        <v>91</v>
      </c>
      <c r="D67" s="12" t="s">
        <v>39</v>
      </c>
      <c r="E67" s="12">
        <v>5</v>
      </c>
      <c r="F67" s="12" t="s">
        <v>36</v>
      </c>
      <c r="G67" s="13" t="s">
        <v>37</v>
      </c>
      <c r="H67" s="14">
        <f>(77800+51280+500+6000+16500+25750+6000+4100+2500+15460+1900+1873532+134000)*1000</f>
        <v>2215322000</v>
      </c>
      <c r="I67" s="15">
        <f t="shared" si="2"/>
        <v>2215322000</v>
      </c>
      <c r="J67" s="13" t="s">
        <v>18</v>
      </c>
      <c r="K67" s="13" t="s">
        <v>18</v>
      </c>
      <c r="L67" s="16" t="s">
        <v>14</v>
      </c>
      <c r="M67" s="2"/>
      <c r="N67" s="2"/>
      <c r="O67" s="2"/>
    </row>
    <row r="68" spans="2:15" s="18" customFormat="1" ht="30" customHeight="1" x14ac:dyDescent="0.25">
      <c r="B68" s="10">
        <v>52161600</v>
      </c>
      <c r="C68" s="11" t="s">
        <v>92</v>
      </c>
      <c r="D68" s="12" t="s">
        <v>39</v>
      </c>
      <c r="E68" s="12">
        <v>4</v>
      </c>
      <c r="F68" s="12" t="s">
        <v>36</v>
      </c>
      <c r="G68" s="12" t="s">
        <v>37</v>
      </c>
      <c r="H68" s="14">
        <f>100000*1000</f>
        <v>100000000</v>
      </c>
      <c r="I68" s="15">
        <f t="shared" si="2"/>
        <v>100000000</v>
      </c>
      <c r="J68" s="12" t="s">
        <v>18</v>
      </c>
      <c r="K68" s="12" t="s">
        <v>18</v>
      </c>
      <c r="L68" s="16" t="s">
        <v>14</v>
      </c>
      <c r="M68" s="2"/>
      <c r="N68" s="2"/>
      <c r="O68" s="2"/>
    </row>
    <row r="69" spans="2:15" s="18" customFormat="1" ht="30" customHeight="1" x14ac:dyDescent="0.25">
      <c r="B69" s="10">
        <v>55101500</v>
      </c>
      <c r="C69" s="11" t="s">
        <v>93</v>
      </c>
      <c r="D69" s="12" t="s">
        <v>70</v>
      </c>
      <c r="E69" s="12">
        <v>12</v>
      </c>
      <c r="F69" s="12" t="s">
        <v>94</v>
      </c>
      <c r="G69" s="13" t="s">
        <v>37</v>
      </c>
      <c r="H69" s="14">
        <f>(67669.706+66766.07438+9397+5636)*1000</f>
        <v>149468780.38000003</v>
      </c>
      <c r="I69" s="15">
        <f t="shared" si="2"/>
        <v>149468780.38000003</v>
      </c>
      <c r="J69" s="13" t="s">
        <v>18</v>
      </c>
      <c r="K69" s="13" t="s">
        <v>18</v>
      </c>
      <c r="L69" s="16" t="s">
        <v>14</v>
      </c>
      <c r="M69" s="2"/>
      <c r="N69" s="2"/>
      <c r="O69" s="2"/>
    </row>
    <row r="70" spans="2:15" s="18" customFormat="1" ht="30" customHeight="1" x14ac:dyDescent="0.25">
      <c r="B70" s="10">
        <v>55101500</v>
      </c>
      <c r="C70" s="11" t="s">
        <v>95</v>
      </c>
      <c r="D70" s="12" t="s">
        <v>70</v>
      </c>
      <c r="E70" s="12">
        <v>12</v>
      </c>
      <c r="F70" s="12" t="s">
        <v>36</v>
      </c>
      <c r="G70" s="13" t="s">
        <v>37</v>
      </c>
      <c r="H70" s="14">
        <f>667528*1000</f>
        <v>667528000</v>
      </c>
      <c r="I70" s="15">
        <f t="shared" si="2"/>
        <v>667528000</v>
      </c>
      <c r="J70" s="13" t="s">
        <v>18</v>
      </c>
      <c r="K70" s="13" t="s">
        <v>18</v>
      </c>
      <c r="L70" s="16" t="s">
        <v>14</v>
      </c>
      <c r="M70" s="2"/>
      <c r="N70" s="2"/>
      <c r="O70" s="2"/>
    </row>
    <row r="71" spans="2:15" s="18" customFormat="1" ht="30" customHeight="1" x14ac:dyDescent="0.25">
      <c r="B71" s="10">
        <v>55101500</v>
      </c>
      <c r="C71" s="11" t="s">
        <v>96</v>
      </c>
      <c r="D71" s="12" t="s">
        <v>70</v>
      </c>
      <c r="E71" s="12">
        <v>12</v>
      </c>
      <c r="F71" s="12" t="s">
        <v>36</v>
      </c>
      <c r="G71" s="13" t="s">
        <v>37</v>
      </c>
      <c r="H71" s="14">
        <f>40203*1000</f>
        <v>40203000</v>
      </c>
      <c r="I71" s="15">
        <f t="shared" si="2"/>
        <v>40203000</v>
      </c>
      <c r="J71" s="13" t="s">
        <v>18</v>
      </c>
      <c r="K71" s="13" t="s">
        <v>18</v>
      </c>
      <c r="L71" s="16" t="s">
        <v>14</v>
      </c>
      <c r="M71" s="2"/>
      <c r="N71" s="2"/>
      <c r="O71" s="2"/>
    </row>
    <row r="72" spans="2:15" s="18" customFormat="1" ht="30" customHeight="1" x14ac:dyDescent="0.25">
      <c r="B72" s="10">
        <v>55101500</v>
      </c>
      <c r="C72" s="11" t="s">
        <v>97</v>
      </c>
      <c r="D72" s="12" t="s">
        <v>70</v>
      </c>
      <c r="E72" s="12">
        <v>12</v>
      </c>
      <c r="F72" s="12" t="s">
        <v>36</v>
      </c>
      <c r="G72" s="13" t="s">
        <v>37</v>
      </c>
      <c r="H72" s="14">
        <f>(2620523+705512)*1000</f>
        <v>3326035000</v>
      </c>
      <c r="I72" s="15">
        <f t="shared" si="2"/>
        <v>3326035000</v>
      </c>
      <c r="J72" s="13" t="s">
        <v>18</v>
      </c>
      <c r="K72" s="13" t="s">
        <v>18</v>
      </c>
      <c r="L72" s="16" t="s">
        <v>14</v>
      </c>
      <c r="M72" s="2"/>
      <c r="N72" s="2"/>
      <c r="O72" s="2"/>
    </row>
    <row r="73" spans="2:15" s="18" customFormat="1" ht="30" customHeight="1" x14ac:dyDescent="0.25">
      <c r="B73" s="10">
        <v>55101500</v>
      </c>
      <c r="C73" s="11" t="s">
        <v>98</v>
      </c>
      <c r="D73" s="12" t="s">
        <v>39</v>
      </c>
      <c r="E73" s="12">
        <v>3</v>
      </c>
      <c r="F73" s="12" t="s">
        <v>36</v>
      </c>
      <c r="G73" s="13" t="s">
        <v>37</v>
      </c>
      <c r="H73" s="14">
        <f>(5380+214325.824)*1000</f>
        <v>219705824</v>
      </c>
      <c r="I73" s="15">
        <f t="shared" si="2"/>
        <v>219705824</v>
      </c>
      <c r="J73" s="13" t="s">
        <v>18</v>
      </c>
      <c r="K73" s="13" t="s">
        <v>18</v>
      </c>
      <c r="L73" s="16" t="s">
        <v>14</v>
      </c>
      <c r="M73" s="2"/>
      <c r="N73" s="2"/>
      <c r="O73" s="2"/>
    </row>
    <row r="74" spans="2:15" s="18" customFormat="1" ht="30" customHeight="1" x14ac:dyDescent="0.25">
      <c r="B74" s="10">
        <v>56101700</v>
      </c>
      <c r="C74" s="11" t="s">
        <v>99</v>
      </c>
      <c r="D74" s="12" t="s">
        <v>39</v>
      </c>
      <c r="E74" s="12">
        <v>5</v>
      </c>
      <c r="F74" s="12" t="s">
        <v>36</v>
      </c>
      <c r="G74" s="13" t="s">
        <v>37</v>
      </c>
      <c r="H74" s="14">
        <f>(27291+30283+28328+2140+1600+55600+147922+45062+82155+17084+49600+2360+640+22793+188568+60000+2400+900+57749+25600+13000+17600+59740+6100+2400+4300+3000+2700)*1000</f>
        <v>956915000</v>
      </c>
      <c r="I74" s="15">
        <f t="shared" si="2"/>
        <v>956915000</v>
      </c>
      <c r="J74" s="13" t="s">
        <v>18</v>
      </c>
      <c r="K74" s="13" t="s">
        <v>18</v>
      </c>
      <c r="L74" s="16" t="s">
        <v>14</v>
      </c>
      <c r="M74" s="2"/>
      <c r="N74" s="2"/>
      <c r="O74" s="2"/>
    </row>
    <row r="75" spans="2:15" s="18" customFormat="1" ht="30" customHeight="1" x14ac:dyDescent="0.25">
      <c r="B75" s="10">
        <v>60121000</v>
      </c>
      <c r="C75" s="11" t="s">
        <v>100</v>
      </c>
      <c r="D75" s="12" t="s">
        <v>70</v>
      </c>
      <c r="E75" s="12">
        <v>12</v>
      </c>
      <c r="F75" s="12" t="s">
        <v>101</v>
      </c>
      <c r="G75" s="13" t="s">
        <v>37</v>
      </c>
      <c r="H75" s="14">
        <f>(137917+59697)*1000</f>
        <v>197614000</v>
      </c>
      <c r="I75" s="15">
        <f t="shared" si="2"/>
        <v>197614000</v>
      </c>
      <c r="J75" s="13" t="s">
        <v>18</v>
      </c>
      <c r="K75" s="13" t="s">
        <v>18</v>
      </c>
      <c r="L75" s="16" t="s">
        <v>14</v>
      </c>
      <c r="M75" s="2"/>
      <c r="N75" s="2"/>
      <c r="O75" s="2"/>
    </row>
    <row r="76" spans="2:15" s="18" customFormat="1" ht="30" customHeight="1" x14ac:dyDescent="0.25">
      <c r="B76" s="10">
        <v>60121000</v>
      </c>
      <c r="C76" s="11" t="s">
        <v>102</v>
      </c>
      <c r="D76" s="12" t="s">
        <v>70</v>
      </c>
      <c r="E76" s="12">
        <v>12</v>
      </c>
      <c r="F76" s="12" t="s">
        <v>101</v>
      </c>
      <c r="G76" s="13" t="s">
        <v>37</v>
      </c>
      <c r="H76" s="14">
        <f>2124613*1000</f>
        <v>2124613000</v>
      </c>
      <c r="I76" s="15">
        <f t="shared" si="2"/>
        <v>2124613000</v>
      </c>
      <c r="J76" s="13" t="s">
        <v>18</v>
      </c>
      <c r="K76" s="13" t="s">
        <v>18</v>
      </c>
      <c r="L76" s="16" t="s">
        <v>14</v>
      </c>
      <c r="M76" s="2"/>
      <c r="N76" s="2"/>
      <c r="O76" s="2"/>
    </row>
    <row r="77" spans="2:15" s="18" customFormat="1" ht="30" customHeight="1" x14ac:dyDescent="0.25">
      <c r="B77" s="10">
        <v>70111703</v>
      </c>
      <c r="C77" s="11" t="s">
        <v>103</v>
      </c>
      <c r="D77" s="12" t="s">
        <v>70</v>
      </c>
      <c r="E77" s="12">
        <v>12</v>
      </c>
      <c r="F77" s="12" t="s">
        <v>36</v>
      </c>
      <c r="G77" s="13" t="s">
        <v>37</v>
      </c>
      <c r="H77" s="14">
        <f>37105.62208*1000</f>
        <v>37105622.079999998</v>
      </c>
      <c r="I77" s="15">
        <f t="shared" si="2"/>
        <v>37105622.079999998</v>
      </c>
      <c r="J77" s="13" t="s">
        <v>18</v>
      </c>
      <c r="K77" s="13" t="s">
        <v>18</v>
      </c>
      <c r="L77" s="16" t="s">
        <v>14</v>
      </c>
      <c r="M77" s="2"/>
      <c r="N77" s="2"/>
      <c r="O77" s="2"/>
    </row>
    <row r="78" spans="2:15" s="18" customFormat="1" ht="30" customHeight="1" x14ac:dyDescent="0.25">
      <c r="B78" s="10">
        <v>72101507</v>
      </c>
      <c r="C78" s="11" t="s">
        <v>104</v>
      </c>
      <c r="D78" s="12" t="s">
        <v>70</v>
      </c>
      <c r="E78" s="12">
        <v>12</v>
      </c>
      <c r="F78" s="12" t="s">
        <v>36</v>
      </c>
      <c r="G78" s="13" t="s">
        <v>37</v>
      </c>
      <c r="H78" s="14">
        <f>(63160009+3464728.11228+572207.62976)*1000</f>
        <v>67196944742.039993</v>
      </c>
      <c r="I78" s="15">
        <f t="shared" si="2"/>
        <v>67196944742.039993</v>
      </c>
      <c r="J78" s="13" t="s">
        <v>18</v>
      </c>
      <c r="K78" s="13" t="s">
        <v>18</v>
      </c>
      <c r="L78" s="16" t="s">
        <v>14</v>
      </c>
      <c r="M78" s="2"/>
      <c r="N78" s="2"/>
      <c r="O78" s="2"/>
    </row>
    <row r="79" spans="2:15" s="18" customFormat="1" ht="30" customHeight="1" x14ac:dyDescent="0.25">
      <c r="B79" s="10">
        <v>72102900</v>
      </c>
      <c r="C79" s="11" t="s">
        <v>105</v>
      </c>
      <c r="D79" s="12" t="s">
        <v>70</v>
      </c>
      <c r="E79" s="12">
        <v>12</v>
      </c>
      <c r="F79" s="12" t="s">
        <v>36</v>
      </c>
      <c r="G79" s="13" t="s">
        <v>37</v>
      </c>
      <c r="H79" s="14">
        <f>(1031269.88265+50671+1833890.051)*1000</f>
        <v>2915830933.6500001</v>
      </c>
      <c r="I79" s="15">
        <f t="shared" si="2"/>
        <v>2915830933.6500001</v>
      </c>
      <c r="J79" s="13" t="s">
        <v>18</v>
      </c>
      <c r="K79" s="13" t="s">
        <v>18</v>
      </c>
      <c r="L79" s="16" t="s">
        <v>14</v>
      </c>
      <c r="M79" s="2"/>
      <c r="N79" s="2"/>
      <c r="O79" s="2"/>
    </row>
    <row r="80" spans="2:15" s="18" customFormat="1" ht="30" customHeight="1" x14ac:dyDescent="0.25">
      <c r="B80" s="10">
        <v>72103302</v>
      </c>
      <c r="C80" s="11" t="s">
        <v>106</v>
      </c>
      <c r="D80" s="12" t="s">
        <v>35</v>
      </c>
      <c r="E80" s="12">
        <v>60</v>
      </c>
      <c r="F80" s="12" t="s">
        <v>36</v>
      </c>
      <c r="G80" s="13" t="s">
        <v>37</v>
      </c>
      <c r="H80" s="14">
        <f>(185061.41402+365847.37907)*1000</f>
        <v>550908793.09000003</v>
      </c>
      <c r="I80" s="15">
        <f t="shared" si="2"/>
        <v>550908793.09000003</v>
      </c>
      <c r="J80" s="13" t="s">
        <v>18</v>
      </c>
      <c r="K80" s="13" t="s">
        <v>18</v>
      </c>
      <c r="L80" s="16" t="s">
        <v>14</v>
      </c>
      <c r="M80" s="2"/>
      <c r="N80" s="2"/>
      <c r="O80" s="2"/>
    </row>
    <row r="81" spans="2:15" s="18" customFormat="1" ht="30" customHeight="1" x14ac:dyDescent="0.25">
      <c r="B81" s="10">
        <v>72151700</v>
      </c>
      <c r="C81" s="11" t="s">
        <v>107</v>
      </c>
      <c r="D81" s="12" t="s">
        <v>42</v>
      </c>
      <c r="E81" s="12">
        <v>12</v>
      </c>
      <c r="F81" s="12" t="s">
        <v>36</v>
      </c>
      <c r="G81" s="13" t="s">
        <v>37</v>
      </c>
      <c r="H81" s="14">
        <f>14512.27791*1000</f>
        <v>14512277.91</v>
      </c>
      <c r="I81" s="15">
        <f t="shared" si="2"/>
        <v>14512277.91</v>
      </c>
      <c r="J81" s="13" t="s">
        <v>18</v>
      </c>
      <c r="K81" s="13" t="s">
        <v>18</v>
      </c>
      <c r="L81" s="16" t="s">
        <v>14</v>
      </c>
      <c r="M81" s="2"/>
      <c r="N81" s="2"/>
      <c r="O81" s="2"/>
    </row>
    <row r="82" spans="2:15" s="18" customFormat="1" ht="30" customHeight="1" x14ac:dyDescent="0.25">
      <c r="B82" s="10">
        <v>72151704</v>
      </c>
      <c r="C82" s="11" t="s">
        <v>108</v>
      </c>
      <c r="D82" s="12" t="s">
        <v>67</v>
      </c>
      <c r="E82" s="12">
        <v>24</v>
      </c>
      <c r="F82" s="12" t="s">
        <v>36</v>
      </c>
      <c r="G82" s="13" t="s">
        <v>37</v>
      </c>
      <c r="H82" s="14">
        <f>222541.77922*1000</f>
        <v>222541779.22</v>
      </c>
      <c r="I82" s="15">
        <f t="shared" si="2"/>
        <v>222541779.22</v>
      </c>
      <c r="J82" s="13" t="s">
        <v>18</v>
      </c>
      <c r="K82" s="13" t="s">
        <v>18</v>
      </c>
      <c r="L82" s="16" t="s">
        <v>14</v>
      </c>
      <c r="M82" s="2"/>
      <c r="N82" s="2"/>
      <c r="O82" s="2"/>
    </row>
    <row r="83" spans="2:15" s="18" customFormat="1" ht="30" customHeight="1" x14ac:dyDescent="0.25">
      <c r="B83" s="10">
        <v>72153600</v>
      </c>
      <c r="C83" s="11" t="s">
        <v>109</v>
      </c>
      <c r="D83" s="12" t="s">
        <v>70</v>
      </c>
      <c r="E83" s="12">
        <v>12</v>
      </c>
      <c r="F83" s="12" t="s">
        <v>36</v>
      </c>
      <c r="G83" s="13" t="s">
        <v>37</v>
      </c>
      <c r="H83" s="14">
        <f>(135105.6+22549.0696+273088.33088+22549.0696)*1000</f>
        <v>453292070.08000004</v>
      </c>
      <c r="I83" s="15">
        <f t="shared" si="2"/>
        <v>453292070.08000004</v>
      </c>
      <c r="J83" s="13" t="s">
        <v>18</v>
      </c>
      <c r="K83" s="13" t="s">
        <v>18</v>
      </c>
      <c r="L83" s="16" t="s">
        <v>14</v>
      </c>
      <c r="M83" s="2"/>
      <c r="N83" s="2"/>
      <c r="O83" s="2"/>
    </row>
    <row r="84" spans="2:15" s="18" customFormat="1" ht="30" customHeight="1" x14ac:dyDescent="0.25">
      <c r="B84" s="19">
        <v>72154066</v>
      </c>
      <c r="C84" s="22" t="s">
        <v>110</v>
      </c>
      <c r="D84" s="12" t="s">
        <v>70</v>
      </c>
      <c r="E84" s="12">
        <v>12</v>
      </c>
      <c r="F84" s="12" t="s">
        <v>36</v>
      </c>
      <c r="G84" s="12" t="s">
        <v>37</v>
      </c>
      <c r="H84" s="20">
        <f>273088.33088*1000</f>
        <v>273088330.88</v>
      </c>
      <c r="I84" s="15">
        <f t="shared" si="2"/>
        <v>273088330.88</v>
      </c>
      <c r="J84" s="13" t="s">
        <v>18</v>
      </c>
      <c r="K84" s="13" t="s">
        <v>18</v>
      </c>
      <c r="L84" s="16" t="s">
        <v>14</v>
      </c>
      <c r="M84" s="2"/>
      <c r="N84" s="2"/>
      <c r="O84" s="2"/>
    </row>
    <row r="85" spans="2:15" s="18" customFormat="1" ht="30" customHeight="1" x14ac:dyDescent="0.25">
      <c r="B85" s="10">
        <v>73152100</v>
      </c>
      <c r="C85" s="11" t="s">
        <v>111</v>
      </c>
      <c r="D85" s="12" t="s">
        <v>70</v>
      </c>
      <c r="E85" s="12">
        <v>12</v>
      </c>
      <c r="F85" s="12" t="s">
        <v>36</v>
      </c>
      <c r="G85" s="13" t="s">
        <v>37</v>
      </c>
      <c r="H85" s="14">
        <f>1000961.73581*1000</f>
        <v>1000961735.8099999</v>
      </c>
      <c r="I85" s="15">
        <f t="shared" si="2"/>
        <v>1000961735.8099999</v>
      </c>
      <c r="J85" s="13" t="s">
        <v>18</v>
      </c>
      <c r="K85" s="13" t="s">
        <v>18</v>
      </c>
      <c r="L85" s="16" t="s">
        <v>14</v>
      </c>
      <c r="M85" s="2"/>
      <c r="N85" s="2"/>
      <c r="O85" s="2"/>
    </row>
    <row r="86" spans="2:15" s="18" customFormat="1" ht="30" customHeight="1" x14ac:dyDescent="0.25">
      <c r="B86" s="10">
        <v>76111500</v>
      </c>
      <c r="C86" s="11" t="s">
        <v>112</v>
      </c>
      <c r="D86" s="12" t="s">
        <v>70</v>
      </c>
      <c r="E86" s="12">
        <v>12</v>
      </c>
      <c r="F86" s="12" t="s">
        <v>36</v>
      </c>
      <c r="G86" s="13" t="s">
        <v>37</v>
      </c>
      <c r="H86" s="14">
        <f>575312.91357*1000</f>
        <v>575312913.56999993</v>
      </c>
      <c r="I86" s="15">
        <f t="shared" si="2"/>
        <v>575312913.56999993</v>
      </c>
      <c r="J86" s="13" t="s">
        <v>18</v>
      </c>
      <c r="K86" s="13" t="s">
        <v>18</v>
      </c>
      <c r="L86" s="16" t="s">
        <v>14</v>
      </c>
      <c r="M86" s="2"/>
      <c r="N86" s="2"/>
      <c r="O86" s="2"/>
    </row>
    <row r="87" spans="2:15" s="18" customFormat="1" ht="30" customHeight="1" x14ac:dyDescent="0.25">
      <c r="B87" s="10">
        <v>78102200</v>
      </c>
      <c r="C87" s="11" t="s">
        <v>113</v>
      </c>
      <c r="D87" s="12" t="s">
        <v>70</v>
      </c>
      <c r="E87" s="12">
        <v>12</v>
      </c>
      <c r="F87" s="12" t="s">
        <v>36</v>
      </c>
      <c r="G87" s="13" t="s">
        <v>37</v>
      </c>
      <c r="H87" s="14">
        <f>44277.141*1000</f>
        <v>44277141</v>
      </c>
      <c r="I87" s="15">
        <f t="shared" si="2"/>
        <v>44277141</v>
      </c>
      <c r="J87" s="13" t="s">
        <v>18</v>
      </c>
      <c r="K87" s="13" t="s">
        <v>18</v>
      </c>
      <c r="L87" s="16" t="s">
        <v>14</v>
      </c>
      <c r="M87" s="2"/>
      <c r="N87" s="2"/>
      <c r="O87" s="2"/>
    </row>
    <row r="88" spans="2:15" s="18" customFormat="1" ht="30" customHeight="1" x14ac:dyDescent="0.25">
      <c r="B88" s="10">
        <v>78101800</v>
      </c>
      <c r="C88" s="11" t="s">
        <v>114</v>
      </c>
      <c r="D88" s="12" t="s">
        <v>70</v>
      </c>
      <c r="E88" s="12">
        <v>12</v>
      </c>
      <c r="F88" s="12" t="s">
        <v>36</v>
      </c>
      <c r="G88" s="13" t="s">
        <v>37</v>
      </c>
      <c r="H88" s="14">
        <f>34948.79*1000</f>
        <v>34948790</v>
      </c>
      <c r="I88" s="15">
        <f t="shared" si="2"/>
        <v>34948790</v>
      </c>
      <c r="J88" s="13" t="s">
        <v>18</v>
      </c>
      <c r="K88" s="13" t="s">
        <v>18</v>
      </c>
      <c r="L88" s="16" t="s">
        <v>14</v>
      </c>
      <c r="M88" s="2"/>
      <c r="N88" s="2"/>
      <c r="O88" s="2"/>
    </row>
    <row r="89" spans="2:15" s="18" customFormat="1" ht="30" customHeight="1" x14ac:dyDescent="0.25">
      <c r="B89" s="10">
        <v>78181500</v>
      </c>
      <c r="C89" s="11" t="s">
        <v>115</v>
      </c>
      <c r="D89" s="12" t="s">
        <v>70</v>
      </c>
      <c r="E89" s="12">
        <v>12</v>
      </c>
      <c r="F89" s="12" t="s">
        <v>36</v>
      </c>
      <c r="G89" s="13" t="s">
        <v>37</v>
      </c>
      <c r="H89" s="14">
        <f>118290.41364*1000</f>
        <v>118290413.64</v>
      </c>
      <c r="I89" s="15">
        <f t="shared" si="2"/>
        <v>118290413.64</v>
      </c>
      <c r="J89" s="13" t="s">
        <v>18</v>
      </c>
      <c r="K89" s="13" t="s">
        <v>18</v>
      </c>
      <c r="L89" s="16" t="s">
        <v>14</v>
      </c>
      <c r="M89" s="2"/>
      <c r="N89" s="2"/>
      <c r="O89" s="2"/>
    </row>
    <row r="90" spans="2:15" s="18" customFormat="1" ht="30" customHeight="1" x14ac:dyDescent="0.25">
      <c r="B90" s="10">
        <v>80101500</v>
      </c>
      <c r="C90" s="11" t="s">
        <v>116</v>
      </c>
      <c r="D90" s="12" t="s">
        <v>42</v>
      </c>
      <c r="E90" s="12">
        <v>11</v>
      </c>
      <c r="F90" s="12" t="s">
        <v>36</v>
      </c>
      <c r="G90" s="13" t="s">
        <v>37</v>
      </c>
      <c r="H90" s="14">
        <f>955339.89157*1000</f>
        <v>955339891.56999993</v>
      </c>
      <c r="I90" s="15">
        <f t="shared" si="2"/>
        <v>955339891.56999993</v>
      </c>
      <c r="J90" s="13" t="s">
        <v>18</v>
      </c>
      <c r="K90" s="13" t="s">
        <v>18</v>
      </c>
      <c r="L90" s="16" t="s">
        <v>14</v>
      </c>
      <c r="M90" s="2"/>
      <c r="N90" s="2"/>
      <c r="O90" s="2"/>
    </row>
    <row r="91" spans="2:15" s="18" customFormat="1" ht="30" customHeight="1" x14ac:dyDescent="0.25">
      <c r="B91" s="10">
        <v>80131500</v>
      </c>
      <c r="C91" s="11" t="s">
        <v>117</v>
      </c>
      <c r="D91" s="12" t="s">
        <v>70</v>
      </c>
      <c r="E91" s="12">
        <v>12</v>
      </c>
      <c r="F91" s="12" t="s">
        <v>36</v>
      </c>
      <c r="G91" s="13" t="s">
        <v>37</v>
      </c>
      <c r="H91" s="14">
        <f>7981.4652*1000</f>
        <v>7981465.1999999993</v>
      </c>
      <c r="I91" s="15">
        <f t="shared" si="2"/>
        <v>7981465.1999999993</v>
      </c>
      <c r="J91" s="13" t="s">
        <v>18</v>
      </c>
      <c r="K91" s="13" t="s">
        <v>18</v>
      </c>
      <c r="L91" s="16" t="s">
        <v>14</v>
      </c>
      <c r="M91" s="2"/>
      <c r="N91" s="2"/>
      <c r="O91" s="2"/>
    </row>
    <row r="92" spans="2:15" s="18" customFormat="1" ht="30" customHeight="1" x14ac:dyDescent="0.25">
      <c r="B92" s="10">
        <v>80131500</v>
      </c>
      <c r="C92" s="11" t="s">
        <v>118</v>
      </c>
      <c r="D92" s="12" t="s">
        <v>70</v>
      </c>
      <c r="E92" s="12">
        <v>12</v>
      </c>
      <c r="F92" s="12" t="s">
        <v>36</v>
      </c>
      <c r="G92" s="13" t="s">
        <v>37</v>
      </c>
      <c r="H92" s="14">
        <f>143750.86734*1000</f>
        <v>143750867.34</v>
      </c>
      <c r="I92" s="15">
        <f t="shared" si="2"/>
        <v>143750867.34</v>
      </c>
      <c r="J92" s="13" t="s">
        <v>18</v>
      </c>
      <c r="K92" s="13" t="s">
        <v>18</v>
      </c>
      <c r="L92" s="16" t="s">
        <v>14</v>
      </c>
      <c r="M92" s="2"/>
      <c r="N92" s="2"/>
      <c r="O92" s="2"/>
    </row>
    <row r="93" spans="2:15" s="18" customFormat="1" ht="30" customHeight="1" x14ac:dyDescent="0.25">
      <c r="B93" s="10">
        <v>80131802</v>
      </c>
      <c r="C93" s="11" t="s">
        <v>119</v>
      </c>
      <c r="D93" s="12" t="s">
        <v>70</v>
      </c>
      <c r="E93" s="12">
        <v>12</v>
      </c>
      <c r="F93" s="12" t="s">
        <v>36</v>
      </c>
      <c r="G93" s="13" t="s">
        <v>37</v>
      </c>
      <c r="H93" s="14">
        <f>115353*1000</f>
        <v>115353000</v>
      </c>
      <c r="I93" s="15">
        <f t="shared" si="2"/>
        <v>115353000</v>
      </c>
      <c r="J93" s="13" t="s">
        <v>18</v>
      </c>
      <c r="K93" s="13" t="s">
        <v>18</v>
      </c>
      <c r="L93" s="16" t="s">
        <v>14</v>
      </c>
      <c r="M93" s="2"/>
      <c r="N93" s="2"/>
      <c r="O93" s="2"/>
    </row>
    <row r="94" spans="2:15" s="18" customFormat="1" ht="30" customHeight="1" x14ac:dyDescent="0.25">
      <c r="B94" s="19">
        <v>80141602</v>
      </c>
      <c r="C94" s="22" t="s">
        <v>120</v>
      </c>
      <c r="D94" s="12" t="s">
        <v>70</v>
      </c>
      <c r="E94" s="12">
        <v>12</v>
      </c>
      <c r="F94" s="12" t="s">
        <v>36</v>
      </c>
      <c r="G94" s="12" t="s">
        <v>37</v>
      </c>
      <c r="H94" s="20">
        <f>(190006.84482+9458.36)*1000</f>
        <v>199465204.81999999</v>
      </c>
      <c r="I94" s="15">
        <f t="shared" si="2"/>
        <v>199465204.81999999</v>
      </c>
      <c r="J94" s="12" t="s">
        <v>18</v>
      </c>
      <c r="K94" s="12" t="s">
        <v>18</v>
      </c>
      <c r="L94" s="16" t="s">
        <v>14</v>
      </c>
      <c r="M94" s="2"/>
      <c r="N94" s="2"/>
      <c r="O94" s="2"/>
    </row>
    <row r="95" spans="2:15" s="18" customFormat="1" ht="30" customHeight="1" x14ac:dyDescent="0.25">
      <c r="B95" s="10">
        <v>81112300</v>
      </c>
      <c r="C95" s="11" t="s">
        <v>121</v>
      </c>
      <c r="D95" s="12" t="s">
        <v>35</v>
      </c>
      <c r="E95" s="12">
        <v>12</v>
      </c>
      <c r="F95" s="12" t="s">
        <v>36</v>
      </c>
      <c r="G95" s="13" t="s">
        <v>37</v>
      </c>
      <c r="H95" s="14">
        <f>(283902.93852+18108.2)*1000</f>
        <v>302011138.52000004</v>
      </c>
      <c r="I95" s="15">
        <f t="shared" si="2"/>
        <v>302011138.52000004</v>
      </c>
      <c r="J95" s="13" t="s">
        <v>18</v>
      </c>
      <c r="K95" s="13" t="s">
        <v>18</v>
      </c>
      <c r="L95" s="16" t="s">
        <v>14</v>
      </c>
      <c r="M95" s="2"/>
      <c r="N95" s="2"/>
      <c r="O95" s="2"/>
    </row>
    <row r="96" spans="2:15" s="18" customFormat="1" ht="30" customHeight="1" x14ac:dyDescent="0.25">
      <c r="B96" s="10">
        <v>82111800</v>
      </c>
      <c r="C96" s="11" t="s">
        <v>122</v>
      </c>
      <c r="D96" s="12" t="s">
        <v>70</v>
      </c>
      <c r="E96" s="12">
        <v>12</v>
      </c>
      <c r="F96" s="12" t="s">
        <v>36</v>
      </c>
      <c r="G96" s="13" t="s">
        <v>37</v>
      </c>
      <c r="H96" s="14">
        <f>139766.26721*1000</f>
        <v>139766267.20999998</v>
      </c>
      <c r="I96" s="15">
        <f t="shared" si="2"/>
        <v>139766267.20999998</v>
      </c>
      <c r="J96" s="13" t="s">
        <v>18</v>
      </c>
      <c r="K96" s="13" t="s">
        <v>18</v>
      </c>
      <c r="L96" s="16" t="s">
        <v>14</v>
      </c>
      <c r="M96" s="2"/>
      <c r="N96" s="2"/>
      <c r="O96" s="2"/>
    </row>
    <row r="97" spans="2:15" s="18" customFormat="1" ht="30" customHeight="1" x14ac:dyDescent="0.25">
      <c r="B97" s="10">
        <v>82121500</v>
      </c>
      <c r="C97" s="11" t="s">
        <v>123</v>
      </c>
      <c r="D97" s="12" t="s">
        <v>70</v>
      </c>
      <c r="E97" s="12">
        <v>12</v>
      </c>
      <c r="F97" s="12" t="s">
        <v>36</v>
      </c>
      <c r="G97" s="13" t="s">
        <v>37</v>
      </c>
      <c r="H97" s="14">
        <f>(173068+172879+1591)*1000</f>
        <v>347538000</v>
      </c>
      <c r="I97" s="15">
        <f t="shared" si="2"/>
        <v>347538000</v>
      </c>
      <c r="J97" s="13" t="s">
        <v>18</v>
      </c>
      <c r="K97" s="13" t="s">
        <v>18</v>
      </c>
      <c r="L97" s="16" t="s">
        <v>14</v>
      </c>
      <c r="M97" s="2"/>
      <c r="N97" s="2"/>
      <c r="O97" s="2"/>
    </row>
    <row r="98" spans="2:15" s="18" customFormat="1" ht="30" customHeight="1" x14ac:dyDescent="0.25">
      <c r="B98" s="10">
        <v>82121700</v>
      </c>
      <c r="C98" s="11" t="s">
        <v>124</v>
      </c>
      <c r="D98" s="12" t="s">
        <v>70</v>
      </c>
      <c r="E98" s="12">
        <v>12</v>
      </c>
      <c r="F98" s="12" t="s">
        <v>36</v>
      </c>
      <c r="G98" s="13" t="s">
        <v>37</v>
      </c>
      <c r="H98" s="14">
        <f>71619.6*1000</f>
        <v>71619600</v>
      </c>
      <c r="I98" s="15">
        <f t="shared" si="2"/>
        <v>71619600</v>
      </c>
      <c r="J98" s="13" t="s">
        <v>18</v>
      </c>
      <c r="K98" s="13" t="s">
        <v>18</v>
      </c>
      <c r="L98" s="16" t="s">
        <v>14</v>
      </c>
      <c r="M98" s="2"/>
      <c r="N98" s="2"/>
      <c r="O98" s="2"/>
    </row>
    <row r="99" spans="2:15" s="18" customFormat="1" ht="30" customHeight="1" x14ac:dyDescent="0.25">
      <c r="B99" s="10">
        <v>83112200</v>
      </c>
      <c r="C99" s="22" t="s">
        <v>125</v>
      </c>
      <c r="D99" s="12" t="s">
        <v>35</v>
      </c>
      <c r="E99" s="12">
        <v>8</v>
      </c>
      <c r="F99" s="12" t="s">
        <v>36</v>
      </c>
      <c r="G99" s="12" t="s">
        <v>37</v>
      </c>
      <c r="H99" s="20">
        <f>(1358637+292933.38471+20017.216+22000+574273.406)*1000</f>
        <v>2267861006.71</v>
      </c>
      <c r="I99" s="15">
        <f t="shared" si="2"/>
        <v>2267861006.71</v>
      </c>
      <c r="J99" s="12" t="s">
        <v>18</v>
      </c>
      <c r="K99" s="12" t="s">
        <v>18</v>
      </c>
      <c r="L99" s="16" t="s">
        <v>14</v>
      </c>
      <c r="M99" s="2"/>
      <c r="N99" s="2"/>
      <c r="O99" s="2"/>
    </row>
    <row r="100" spans="2:15" s="18" customFormat="1" ht="30" customHeight="1" x14ac:dyDescent="0.25">
      <c r="B100" s="10">
        <v>86101600</v>
      </c>
      <c r="C100" s="11" t="s">
        <v>126</v>
      </c>
      <c r="D100" s="12" t="s">
        <v>35</v>
      </c>
      <c r="E100" s="12">
        <v>9</v>
      </c>
      <c r="F100" s="12" t="s">
        <v>36</v>
      </c>
      <c r="G100" s="13" t="s">
        <v>37</v>
      </c>
      <c r="H100" s="14">
        <f>45736.62208*1000</f>
        <v>45736622.079999998</v>
      </c>
      <c r="I100" s="15">
        <f t="shared" si="2"/>
        <v>45736622.079999998</v>
      </c>
      <c r="J100" s="13" t="s">
        <v>18</v>
      </c>
      <c r="K100" s="13" t="s">
        <v>18</v>
      </c>
      <c r="L100" s="16" t="s">
        <v>14</v>
      </c>
      <c r="M100" s="2"/>
      <c r="N100" s="2"/>
      <c r="O100" s="2"/>
    </row>
    <row r="101" spans="2:15" s="18" customFormat="1" ht="30" customHeight="1" x14ac:dyDescent="0.25">
      <c r="B101" s="10">
        <v>91111500</v>
      </c>
      <c r="C101" s="11" t="s">
        <v>127</v>
      </c>
      <c r="D101" s="12" t="s">
        <v>70</v>
      </c>
      <c r="E101" s="12">
        <v>12</v>
      </c>
      <c r="F101" s="12" t="s">
        <v>36</v>
      </c>
      <c r="G101" s="13" t="s">
        <v>37</v>
      </c>
      <c r="H101" s="14">
        <f>41112.9467*1000</f>
        <v>41112946.700000003</v>
      </c>
      <c r="I101" s="15">
        <f t="shared" si="2"/>
        <v>41112946.700000003</v>
      </c>
      <c r="J101" s="13" t="s">
        <v>18</v>
      </c>
      <c r="K101" s="13" t="s">
        <v>18</v>
      </c>
      <c r="L101" s="16" t="s">
        <v>14</v>
      </c>
      <c r="M101" s="2"/>
      <c r="N101" s="2"/>
      <c r="O101" s="2"/>
    </row>
    <row r="102" spans="2:15" s="18" customFormat="1" ht="30" customHeight="1" x14ac:dyDescent="0.25">
      <c r="B102" s="10">
        <v>92101501</v>
      </c>
      <c r="C102" s="24" t="s">
        <v>128</v>
      </c>
      <c r="D102" s="12" t="s">
        <v>70</v>
      </c>
      <c r="E102" s="12">
        <v>12</v>
      </c>
      <c r="F102" s="12" t="s">
        <v>36</v>
      </c>
      <c r="G102" s="13" t="s">
        <v>37</v>
      </c>
      <c r="H102" s="14">
        <f>9444659*1000</f>
        <v>9444659000</v>
      </c>
      <c r="I102" s="15">
        <f t="shared" si="2"/>
        <v>9444659000</v>
      </c>
      <c r="J102" s="13" t="s">
        <v>18</v>
      </c>
      <c r="K102" s="13" t="s">
        <v>18</v>
      </c>
      <c r="L102" s="16" t="s">
        <v>14</v>
      </c>
      <c r="M102" s="2"/>
      <c r="N102" s="2"/>
      <c r="O102" s="2"/>
    </row>
    <row r="103" spans="2:15" s="18" customFormat="1" ht="30" customHeight="1" x14ac:dyDescent="0.25">
      <c r="B103" s="19">
        <v>23281500</v>
      </c>
      <c r="C103" s="25" t="s">
        <v>129</v>
      </c>
      <c r="D103" s="12" t="s">
        <v>130</v>
      </c>
      <c r="E103" s="12">
        <v>12</v>
      </c>
      <c r="F103" s="12" t="s">
        <v>36</v>
      </c>
      <c r="G103" s="13" t="s">
        <v>37</v>
      </c>
      <c r="H103" s="14">
        <f>3290000*1000</f>
        <v>3290000000</v>
      </c>
      <c r="I103" s="15">
        <f>1151500*1000</f>
        <v>1151500000</v>
      </c>
      <c r="J103" s="13" t="s">
        <v>18</v>
      </c>
      <c r="K103" s="13" t="s">
        <v>18</v>
      </c>
      <c r="L103" s="16" t="s">
        <v>14</v>
      </c>
      <c r="M103" s="2"/>
      <c r="N103" s="2"/>
      <c r="O103" s="2"/>
    </row>
    <row r="104" spans="2:15" s="18" customFormat="1" ht="30" customHeight="1" x14ac:dyDescent="0.25">
      <c r="B104" s="19">
        <v>41116100</v>
      </c>
      <c r="C104" s="25" t="s">
        <v>131</v>
      </c>
      <c r="D104" s="12" t="s">
        <v>130</v>
      </c>
      <c r="E104" s="12">
        <v>12</v>
      </c>
      <c r="F104" s="12" t="s">
        <v>36</v>
      </c>
      <c r="G104" s="13" t="s">
        <v>37</v>
      </c>
      <c r="H104" s="14">
        <f>3143200*1000</f>
        <v>3143200000</v>
      </c>
      <c r="I104" s="15">
        <f>3143200*1000</f>
        <v>3143200000</v>
      </c>
      <c r="J104" s="13" t="s">
        <v>18</v>
      </c>
      <c r="K104" s="13" t="s">
        <v>18</v>
      </c>
      <c r="L104" s="16" t="s">
        <v>14</v>
      </c>
      <c r="M104" s="2"/>
      <c r="N104" s="2"/>
      <c r="O104" s="2"/>
    </row>
    <row r="105" spans="2:15" s="18" customFormat="1" ht="30" customHeight="1" x14ac:dyDescent="0.25">
      <c r="B105" s="19">
        <v>23153100</v>
      </c>
      <c r="C105" s="25" t="s">
        <v>132</v>
      </c>
      <c r="D105" s="12" t="s">
        <v>130</v>
      </c>
      <c r="E105" s="12">
        <v>24</v>
      </c>
      <c r="F105" s="12" t="s">
        <v>36</v>
      </c>
      <c r="G105" s="13" t="s">
        <v>37</v>
      </c>
      <c r="H105" s="14">
        <f>4496495*1000</f>
        <v>4496495000</v>
      </c>
      <c r="I105" s="15">
        <f>4496495*1000</f>
        <v>4496495000</v>
      </c>
      <c r="J105" s="13" t="s">
        <v>18</v>
      </c>
      <c r="K105" s="13" t="s">
        <v>18</v>
      </c>
      <c r="L105" s="16" t="s">
        <v>14</v>
      </c>
      <c r="M105" s="2"/>
      <c r="N105" s="2"/>
      <c r="O105" s="2"/>
    </row>
    <row r="106" spans="2:15" s="18" customFormat="1" ht="30" customHeight="1" x14ac:dyDescent="0.25">
      <c r="B106" s="19">
        <v>41104800</v>
      </c>
      <c r="C106" s="22" t="s">
        <v>133</v>
      </c>
      <c r="D106" s="12" t="s">
        <v>134</v>
      </c>
      <c r="E106" s="12">
        <v>12</v>
      </c>
      <c r="F106" s="12" t="s">
        <v>36</v>
      </c>
      <c r="G106" s="13" t="s">
        <v>37</v>
      </c>
      <c r="H106" s="14">
        <f>972000*1000</f>
        <v>972000000</v>
      </c>
      <c r="I106" s="15">
        <f>972000*1000</f>
        <v>972000000</v>
      </c>
      <c r="J106" s="13" t="s">
        <v>18</v>
      </c>
      <c r="K106" s="13" t="s">
        <v>18</v>
      </c>
      <c r="L106" s="16" t="s">
        <v>14</v>
      </c>
      <c r="M106" s="2"/>
      <c r="N106" s="2"/>
      <c r="O106" s="2"/>
    </row>
    <row r="107" spans="2:15" s="18" customFormat="1" ht="30" customHeight="1" x14ac:dyDescent="0.25">
      <c r="B107" s="19">
        <v>41111900</v>
      </c>
      <c r="C107" s="22" t="s">
        <v>135</v>
      </c>
      <c r="D107" s="12" t="s">
        <v>39</v>
      </c>
      <c r="E107" s="12">
        <v>12</v>
      </c>
      <c r="F107" s="12" t="s">
        <v>36</v>
      </c>
      <c r="G107" s="13" t="s">
        <v>37</v>
      </c>
      <c r="H107" s="14">
        <f>27686*1000</f>
        <v>27686000</v>
      </c>
      <c r="I107" s="15">
        <f>27686*1000</f>
        <v>27686000</v>
      </c>
      <c r="J107" s="13" t="s">
        <v>18</v>
      </c>
      <c r="K107" s="13" t="s">
        <v>18</v>
      </c>
      <c r="L107" s="16" t="s">
        <v>14</v>
      </c>
      <c r="M107" s="2"/>
      <c r="N107" s="2"/>
      <c r="O107" s="2"/>
    </row>
    <row r="108" spans="2:15" s="18" customFormat="1" ht="30" customHeight="1" x14ac:dyDescent="0.25">
      <c r="B108" s="19">
        <v>27113200</v>
      </c>
      <c r="C108" s="22" t="s">
        <v>136</v>
      </c>
      <c r="D108" s="12" t="s">
        <v>67</v>
      </c>
      <c r="E108" s="12">
        <v>12</v>
      </c>
      <c r="F108" s="12" t="s">
        <v>36</v>
      </c>
      <c r="G108" s="13" t="s">
        <v>37</v>
      </c>
      <c r="H108" s="14">
        <f>27000*1000</f>
        <v>27000000</v>
      </c>
      <c r="I108" s="15">
        <f>27000*1000</f>
        <v>27000000</v>
      </c>
      <c r="J108" s="13" t="s">
        <v>18</v>
      </c>
      <c r="K108" s="13" t="s">
        <v>18</v>
      </c>
      <c r="L108" s="16" t="s">
        <v>14</v>
      </c>
      <c r="M108" s="2"/>
      <c r="N108" s="2"/>
      <c r="O108" s="2"/>
    </row>
    <row r="109" spans="2:15" s="18" customFormat="1" ht="30" customHeight="1" x14ac:dyDescent="0.25">
      <c r="B109" s="26">
        <v>41102426</v>
      </c>
      <c r="C109" s="27" t="s">
        <v>137</v>
      </c>
      <c r="D109" s="28" t="s">
        <v>138</v>
      </c>
      <c r="E109" s="28">
        <v>2</v>
      </c>
      <c r="F109" s="28" t="s">
        <v>36</v>
      </c>
      <c r="G109" s="13" t="s">
        <v>37</v>
      </c>
      <c r="H109" s="29">
        <f>50000*1000</f>
        <v>50000000</v>
      </c>
      <c r="I109" s="30">
        <f>H109</f>
        <v>50000000</v>
      </c>
      <c r="J109" s="31" t="s">
        <v>18</v>
      </c>
      <c r="K109" s="31" t="s">
        <v>18</v>
      </c>
      <c r="L109" s="16" t="s">
        <v>14</v>
      </c>
      <c r="M109" s="2"/>
      <c r="N109" s="2"/>
      <c r="O109" s="2"/>
    </row>
    <row r="110" spans="2:15" s="18" customFormat="1" ht="30" customHeight="1" x14ac:dyDescent="0.25">
      <c r="B110" s="26">
        <v>51182400</v>
      </c>
      <c r="C110" s="27" t="s">
        <v>139</v>
      </c>
      <c r="D110" s="28" t="s">
        <v>134</v>
      </c>
      <c r="E110" s="28">
        <v>2</v>
      </c>
      <c r="F110" s="28" t="s">
        <v>36</v>
      </c>
      <c r="G110" s="13" t="s">
        <v>37</v>
      </c>
      <c r="H110" s="29">
        <f>13000*1000</f>
        <v>13000000</v>
      </c>
      <c r="I110" s="30">
        <f>H110</f>
        <v>13000000</v>
      </c>
      <c r="J110" s="31" t="s">
        <v>18</v>
      </c>
      <c r="K110" s="31" t="s">
        <v>18</v>
      </c>
      <c r="L110" s="16" t="s">
        <v>14</v>
      </c>
      <c r="M110" s="2"/>
      <c r="N110" s="2"/>
      <c r="O110" s="2"/>
    </row>
    <row r="111" spans="2:15" s="18" customFormat="1" ht="30" customHeight="1" x14ac:dyDescent="0.25">
      <c r="B111" s="26">
        <v>12161901</v>
      </c>
      <c r="C111" s="27" t="s">
        <v>140</v>
      </c>
      <c r="D111" s="28" t="s">
        <v>134</v>
      </c>
      <c r="E111" s="28">
        <v>2</v>
      </c>
      <c r="F111" s="28" t="s">
        <v>36</v>
      </c>
      <c r="G111" s="13" t="s">
        <v>37</v>
      </c>
      <c r="H111" s="29">
        <f>45000*1000</f>
        <v>45000000</v>
      </c>
      <c r="I111" s="30">
        <f t="shared" ref="I111:I120" si="3">H111</f>
        <v>45000000</v>
      </c>
      <c r="J111" s="31" t="s">
        <v>18</v>
      </c>
      <c r="K111" s="31" t="s">
        <v>18</v>
      </c>
      <c r="L111" s="16" t="s">
        <v>14</v>
      </c>
      <c r="M111" s="2"/>
      <c r="N111" s="2"/>
      <c r="O111" s="2"/>
    </row>
    <row r="112" spans="2:15" s="18" customFormat="1" ht="30" customHeight="1" x14ac:dyDescent="0.25">
      <c r="B112" s="26">
        <v>24112500</v>
      </c>
      <c r="C112" s="27" t="s">
        <v>141</v>
      </c>
      <c r="D112" s="28" t="s">
        <v>65</v>
      </c>
      <c r="E112" s="28">
        <v>4</v>
      </c>
      <c r="F112" s="28" t="s">
        <v>36</v>
      </c>
      <c r="G112" s="13" t="s">
        <v>37</v>
      </c>
      <c r="H112" s="29">
        <f>280000*1000</f>
        <v>280000000</v>
      </c>
      <c r="I112" s="30">
        <f t="shared" si="3"/>
        <v>280000000</v>
      </c>
      <c r="J112" s="31" t="s">
        <v>18</v>
      </c>
      <c r="K112" s="31" t="s">
        <v>18</v>
      </c>
      <c r="L112" s="16" t="s">
        <v>14</v>
      </c>
      <c r="M112" s="2"/>
      <c r="N112" s="2"/>
      <c r="O112" s="2"/>
    </row>
    <row r="113" spans="2:15" s="18" customFormat="1" ht="30" customHeight="1" x14ac:dyDescent="0.25">
      <c r="B113" s="26">
        <v>56111900</v>
      </c>
      <c r="C113" s="27" t="s">
        <v>142</v>
      </c>
      <c r="D113" s="28" t="s">
        <v>130</v>
      </c>
      <c r="E113" s="28">
        <v>4</v>
      </c>
      <c r="F113" s="28" t="s">
        <v>36</v>
      </c>
      <c r="G113" s="13" t="s">
        <v>37</v>
      </c>
      <c r="H113" s="29">
        <f>22000*1000</f>
        <v>22000000</v>
      </c>
      <c r="I113" s="30">
        <f t="shared" si="3"/>
        <v>22000000</v>
      </c>
      <c r="J113" s="31" t="s">
        <v>18</v>
      </c>
      <c r="K113" s="31" t="s">
        <v>18</v>
      </c>
      <c r="L113" s="16" t="s">
        <v>14</v>
      </c>
      <c r="M113" s="2"/>
      <c r="N113" s="2"/>
      <c r="O113" s="2"/>
    </row>
    <row r="114" spans="2:15" s="18" customFormat="1" ht="30" customHeight="1" x14ac:dyDescent="0.25">
      <c r="B114" s="26">
        <v>72154100</v>
      </c>
      <c r="C114" s="27" t="s">
        <v>143</v>
      </c>
      <c r="D114" s="28" t="s">
        <v>130</v>
      </c>
      <c r="E114" s="28">
        <v>12</v>
      </c>
      <c r="F114" s="28" t="s">
        <v>94</v>
      </c>
      <c r="G114" s="13" t="s">
        <v>37</v>
      </c>
      <c r="H114" s="29">
        <f>1860000*1000</f>
        <v>1860000000</v>
      </c>
      <c r="I114" s="30">
        <f>560000*1000</f>
        <v>560000000</v>
      </c>
      <c r="J114" s="31" t="s">
        <v>18</v>
      </c>
      <c r="K114" s="31" t="s">
        <v>18</v>
      </c>
      <c r="L114" s="16" t="s">
        <v>14</v>
      </c>
      <c r="M114" s="2"/>
      <c r="N114" s="2"/>
      <c r="O114" s="2"/>
    </row>
    <row r="115" spans="2:15" s="18" customFormat="1" ht="30" customHeight="1" x14ac:dyDescent="0.25">
      <c r="B115" s="26">
        <v>31171500</v>
      </c>
      <c r="C115" s="27" t="s">
        <v>144</v>
      </c>
      <c r="D115" s="28" t="s">
        <v>138</v>
      </c>
      <c r="E115" s="28">
        <v>2</v>
      </c>
      <c r="F115" s="28" t="s">
        <v>36</v>
      </c>
      <c r="G115" s="13" t="s">
        <v>37</v>
      </c>
      <c r="H115" s="29">
        <f>35000*1000</f>
        <v>35000000</v>
      </c>
      <c r="I115" s="30">
        <f t="shared" si="3"/>
        <v>35000000</v>
      </c>
      <c r="J115" s="31" t="s">
        <v>18</v>
      </c>
      <c r="K115" s="31" t="s">
        <v>18</v>
      </c>
      <c r="L115" s="16" t="s">
        <v>14</v>
      </c>
      <c r="M115" s="2"/>
      <c r="N115" s="2"/>
      <c r="O115" s="2"/>
    </row>
    <row r="116" spans="2:15" s="18" customFormat="1" ht="30" customHeight="1" x14ac:dyDescent="0.25">
      <c r="B116" s="26">
        <v>15121500</v>
      </c>
      <c r="C116" s="27" t="s">
        <v>145</v>
      </c>
      <c r="D116" s="28" t="s">
        <v>65</v>
      </c>
      <c r="E116" s="28">
        <v>2</v>
      </c>
      <c r="F116" s="28" t="s">
        <v>36</v>
      </c>
      <c r="G116" s="13" t="s">
        <v>37</v>
      </c>
      <c r="H116" s="29">
        <f>25000*1000</f>
        <v>25000000</v>
      </c>
      <c r="I116" s="30">
        <f t="shared" si="3"/>
        <v>25000000</v>
      </c>
      <c r="J116" s="31" t="s">
        <v>18</v>
      </c>
      <c r="K116" s="31" t="s">
        <v>18</v>
      </c>
      <c r="L116" s="16" t="s">
        <v>14</v>
      </c>
      <c r="M116" s="2"/>
      <c r="N116" s="2"/>
      <c r="O116" s="2"/>
    </row>
    <row r="117" spans="2:15" s="18" customFormat="1" ht="30" customHeight="1" x14ac:dyDescent="0.25">
      <c r="B117" s="26">
        <v>30111600</v>
      </c>
      <c r="C117" s="27" t="s">
        <v>146</v>
      </c>
      <c r="D117" s="28" t="s">
        <v>130</v>
      </c>
      <c r="E117" s="28">
        <v>2</v>
      </c>
      <c r="F117" s="28" t="s">
        <v>36</v>
      </c>
      <c r="G117" s="13" t="s">
        <v>37</v>
      </c>
      <c r="H117" s="29">
        <f>20000*1000</f>
        <v>20000000</v>
      </c>
      <c r="I117" s="30">
        <f t="shared" si="3"/>
        <v>20000000</v>
      </c>
      <c r="J117" s="31" t="s">
        <v>18</v>
      </c>
      <c r="K117" s="31" t="s">
        <v>18</v>
      </c>
      <c r="L117" s="16" t="s">
        <v>14</v>
      </c>
      <c r="M117" s="2"/>
      <c r="N117" s="2"/>
      <c r="O117" s="2"/>
    </row>
    <row r="118" spans="2:15" s="18" customFormat="1" ht="30" customHeight="1" x14ac:dyDescent="0.25">
      <c r="B118" s="26">
        <v>23152900</v>
      </c>
      <c r="C118" s="27" t="s">
        <v>147</v>
      </c>
      <c r="D118" s="28" t="s">
        <v>130</v>
      </c>
      <c r="E118" s="28">
        <v>3</v>
      </c>
      <c r="F118" s="28" t="s">
        <v>36</v>
      </c>
      <c r="G118" s="13" t="s">
        <v>37</v>
      </c>
      <c r="H118" s="29">
        <f>19000*1000</f>
        <v>19000000</v>
      </c>
      <c r="I118" s="30">
        <f t="shared" si="3"/>
        <v>19000000</v>
      </c>
      <c r="J118" s="31" t="s">
        <v>18</v>
      </c>
      <c r="K118" s="31" t="s">
        <v>18</v>
      </c>
      <c r="L118" s="16" t="s">
        <v>14</v>
      </c>
      <c r="M118" s="2"/>
      <c r="N118" s="2"/>
      <c r="O118" s="2"/>
    </row>
    <row r="119" spans="2:15" s="18" customFormat="1" ht="30" customHeight="1" x14ac:dyDescent="0.25">
      <c r="B119" s="26">
        <v>73161605</v>
      </c>
      <c r="C119" s="27" t="s">
        <v>148</v>
      </c>
      <c r="D119" s="28" t="s">
        <v>130</v>
      </c>
      <c r="E119" s="28">
        <v>2</v>
      </c>
      <c r="F119" s="28" t="s">
        <v>36</v>
      </c>
      <c r="G119" s="13" t="s">
        <v>37</v>
      </c>
      <c r="H119" s="29">
        <f>9000*1000</f>
        <v>9000000</v>
      </c>
      <c r="I119" s="30">
        <f t="shared" si="3"/>
        <v>9000000</v>
      </c>
      <c r="J119" s="31" t="s">
        <v>18</v>
      </c>
      <c r="K119" s="31" t="s">
        <v>18</v>
      </c>
      <c r="L119" s="16" t="s">
        <v>14</v>
      </c>
      <c r="M119" s="2"/>
      <c r="N119" s="2"/>
      <c r="O119" s="2"/>
    </row>
    <row r="120" spans="2:15" s="18" customFormat="1" ht="30" customHeight="1" x14ac:dyDescent="0.25">
      <c r="B120" s="26">
        <v>23153100</v>
      </c>
      <c r="C120" s="27" t="s">
        <v>149</v>
      </c>
      <c r="D120" s="28" t="s">
        <v>134</v>
      </c>
      <c r="E120" s="28">
        <v>3</v>
      </c>
      <c r="F120" s="28" t="s">
        <v>94</v>
      </c>
      <c r="G120" s="13" t="s">
        <v>37</v>
      </c>
      <c r="H120" s="29">
        <f>9000*1000</f>
        <v>9000000</v>
      </c>
      <c r="I120" s="30">
        <f t="shared" si="3"/>
        <v>9000000</v>
      </c>
      <c r="J120" s="31" t="s">
        <v>18</v>
      </c>
      <c r="K120" s="31" t="s">
        <v>18</v>
      </c>
      <c r="L120" s="16" t="s">
        <v>14</v>
      </c>
      <c r="M120" s="2"/>
      <c r="N120" s="2"/>
      <c r="O120" s="2"/>
    </row>
    <row r="121" spans="2:15" s="18" customFormat="1" ht="30" customHeight="1" x14ac:dyDescent="0.25">
      <c r="B121" s="26">
        <v>12141700</v>
      </c>
      <c r="C121" s="27" t="s">
        <v>150</v>
      </c>
      <c r="D121" s="28" t="s">
        <v>65</v>
      </c>
      <c r="E121" s="28">
        <v>6</v>
      </c>
      <c r="F121" s="28" t="s">
        <v>36</v>
      </c>
      <c r="G121" s="13" t="s">
        <v>37</v>
      </c>
      <c r="H121" s="29">
        <f>24245795*1000</f>
        <v>24245795000</v>
      </c>
      <c r="I121" s="30">
        <v>0</v>
      </c>
      <c r="J121" s="31" t="s">
        <v>18</v>
      </c>
      <c r="K121" s="31" t="s">
        <v>18</v>
      </c>
      <c r="L121" s="16" t="s">
        <v>14</v>
      </c>
      <c r="M121" s="2"/>
      <c r="N121" s="2"/>
      <c r="O121" s="2"/>
    </row>
    <row r="122" spans="2:15" s="18" customFormat="1" ht="30" customHeight="1" x14ac:dyDescent="0.25">
      <c r="B122" s="19">
        <v>93151700</v>
      </c>
      <c r="C122" s="22" t="s">
        <v>151</v>
      </c>
      <c r="D122" s="28" t="s">
        <v>65</v>
      </c>
      <c r="E122" s="28">
        <v>10</v>
      </c>
      <c r="F122" s="28" t="s">
        <v>36</v>
      </c>
      <c r="G122" s="13" t="s">
        <v>37</v>
      </c>
      <c r="H122" s="29">
        <f>5834337*1000</f>
        <v>5834337000</v>
      </c>
      <c r="I122" s="30">
        <v>0</v>
      </c>
      <c r="J122" s="31" t="s">
        <v>18</v>
      </c>
      <c r="K122" s="31" t="s">
        <v>18</v>
      </c>
      <c r="L122" s="16" t="s">
        <v>14</v>
      </c>
      <c r="M122" s="2"/>
      <c r="N122" s="2"/>
      <c r="O122" s="2"/>
    </row>
    <row r="123" spans="2:15" s="18" customFormat="1" ht="30" customHeight="1" x14ac:dyDescent="0.25">
      <c r="B123" s="32">
        <v>76121600</v>
      </c>
      <c r="C123" s="33" t="s">
        <v>152</v>
      </c>
      <c r="D123" s="28" t="s">
        <v>153</v>
      </c>
      <c r="E123" s="28">
        <v>24</v>
      </c>
      <c r="F123" s="28" t="s">
        <v>154</v>
      </c>
      <c r="G123" s="13" t="s">
        <v>37</v>
      </c>
      <c r="H123" s="29">
        <v>900000000</v>
      </c>
      <c r="I123" s="30">
        <v>0</v>
      </c>
      <c r="J123" s="31" t="s">
        <v>18</v>
      </c>
      <c r="K123" s="31" t="s">
        <v>18</v>
      </c>
      <c r="L123" s="16" t="s">
        <v>14</v>
      </c>
      <c r="M123" s="2"/>
      <c r="N123" s="2"/>
      <c r="O123" s="2"/>
    </row>
    <row r="124" spans="2:15" s="18" customFormat="1" ht="30" customHeight="1" x14ac:dyDescent="0.25">
      <c r="B124" s="34"/>
      <c r="C124" s="35"/>
      <c r="D124" s="28"/>
      <c r="E124" s="28"/>
      <c r="F124" s="28"/>
      <c r="G124" s="31"/>
      <c r="H124" s="29"/>
      <c r="I124" s="30"/>
      <c r="J124" s="31"/>
      <c r="K124" s="31"/>
      <c r="L124" s="36"/>
      <c r="M124" s="2"/>
      <c r="N124" s="2"/>
      <c r="O124" s="2"/>
    </row>
    <row r="125" spans="2:15" s="18" customFormat="1" ht="30" customHeight="1" x14ac:dyDescent="0.25">
      <c r="B125" s="19"/>
      <c r="C125" s="27"/>
      <c r="D125" s="28"/>
      <c r="E125" s="28"/>
      <c r="F125" s="28"/>
      <c r="G125" s="12"/>
      <c r="H125" s="37"/>
      <c r="I125" s="30"/>
      <c r="J125" s="28"/>
      <c r="K125" s="28"/>
      <c r="L125" s="16"/>
    </row>
    <row r="126" spans="2:15" s="18" customFormat="1" ht="30" customHeight="1" x14ac:dyDescent="0.25">
      <c r="B126" s="19"/>
      <c r="C126" s="27"/>
      <c r="D126" s="28"/>
      <c r="E126" s="28"/>
      <c r="F126" s="28"/>
      <c r="G126" s="12"/>
      <c r="H126" s="37"/>
      <c r="I126" s="30"/>
      <c r="J126" s="28"/>
      <c r="K126" s="28"/>
      <c r="L126" s="16"/>
    </row>
    <row r="127" spans="2:15" s="18" customFormat="1" ht="30" customHeight="1" x14ac:dyDescent="0.25">
      <c r="B127" s="19"/>
      <c r="C127" s="27"/>
      <c r="D127" s="28"/>
      <c r="E127" s="28"/>
      <c r="F127" s="28"/>
      <c r="G127" s="12"/>
      <c r="H127" s="37"/>
      <c r="I127" s="30"/>
      <c r="J127" s="28"/>
      <c r="K127" s="28"/>
      <c r="L127" s="16"/>
    </row>
    <row r="128" spans="2:15" s="18" customFormat="1" ht="30" customHeight="1" x14ac:dyDescent="0.25">
      <c r="B128" s="19"/>
      <c r="C128" s="27"/>
      <c r="D128" s="28"/>
      <c r="E128" s="28"/>
      <c r="F128" s="28"/>
      <c r="G128" s="12"/>
      <c r="H128" s="37"/>
      <c r="I128" s="30"/>
      <c r="J128" s="28"/>
      <c r="K128" s="28"/>
      <c r="L128" s="16"/>
    </row>
    <row r="129" spans="2:12" s="18" customFormat="1" ht="30" customHeight="1" x14ac:dyDescent="0.25">
      <c r="B129" s="26"/>
      <c r="C129" s="27"/>
      <c r="D129" s="28"/>
      <c r="E129" s="28"/>
      <c r="F129" s="28"/>
      <c r="G129" s="28"/>
      <c r="H129" s="37"/>
      <c r="I129" s="30"/>
      <c r="J129" s="28"/>
      <c r="K129" s="28"/>
      <c r="L129" s="36"/>
    </row>
    <row r="130" spans="2:12" ht="30" customHeight="1" x14ac:dyDescent="0.25">
      <c r="B130" s="34"/>
      <c r="C130" s="35"/>
      <c r="D130" s="28"/>
      <c r="E130" s="28"/>
      <c r="F130" s="28"/>
      <c r="G130" s="31"/>
      <c r="H130" s="29"/>
      <c r="I130" s="30"/>
      <c r="J130" s="31"/>
      <c r="K130" s="31"/>
      <c r="L130" s="36"/>
    </row>
    <row r="131" spans="2:12" ht="30" customHeight="1" x14ac:dyDescent="0.25">
      <c r="B131" s="34"/>
      <c r="C131" s="35"/>
      <c r="D131" s="28"/>
      <c r="E131" s="28"/>
      <c r="F131" s="28"/>
      <c r="G131" s="31"/>
      <c r="H131" s="29"/>
      <c r="I131" s="30"/>
      <c r="J131" s="31"/>
      <c r="K131" s="31"/>
      <c r="L131" s="36"/>
    </row>
    <row r="132" spans="2:12" ht="30" customHeight="1" x14ac:dyDescent="0.25">
      <c r="B132" s="34"/>
      <c r="C132" s="35"/>
      <c r="D132" s="28"/>
      <c r="E132" s="28"/>
      <c r="F132" s="28"/>
      <c r="G132" s="31"/>
      <c r="H132" s="29"/>
      <c r="I132" s="30"/>
      <c r="J132" s="31"/>
      <c r="K132" s="31"/>
      <c r="L132" s="36"/>
    </row>
    <row r="133" spans="2:12" ht="30" customHeight="1" x14ac:dyDescent="0.25">
      <c r="B133" s="34"/>
      <c r="C133" s="35"/>
      <c r="D133" s="28"/>
      <c r="E133" s="28"/>
      <c r="F133" s="28"/>
      <c r="G133" s="31"/>
      <c r="H133" s="29"/>
      <c r="I133" s="30"/>
      <c r="J133" s="31"/>
      <c r="K133" s="31"/>
      <c r="L133" s="36"/>
    </row>
    <row r="134" spans="2:12" ht="30" customHeight="1" x14ac:dyDescent="0.25">
      <c r="B134" s="34"/>
      <c r="C134" s="35"/>
      <c r="D134" s="28"/>
      <c r="E134" s="28"/>
      <c r="F134" s="28"/>
      <c r="G134" s="31"/>
      <c r="H134" s="29"/>
      <c r="I134" s="30"/>
      <c r="J134" s="31"/>
      <c r="K134" s="31"/>
      <c r="L134" s="36"/>
    </row>
    <row r="135" spans="2:12" ht="30" customHeight="1" x14ac:dyDescent="0.25">
      <c r="B135" s="34"/>
      <c r="C135" s="35"/>
      <c r="D135" s="28"/>
      <c r="E135" s="28"/>
      <c r="F135" s="28"/>
      <c r="G135" s="31"/>
      <c r="H135" s="29"/>
      <c r="I135" s="30"/>
      <c r="J135" s="31"/>
      <c r="K135" s="31"/>
      <c r="L135" s="36"/>
    </row>
    <row r="136" spans="2:12" ht="30" customHeight="1" x14ac:dyDescent="0.25">
      <c r="B136" s="34"/>
      <c r="C136" s="35"/>
      <c r="D136" s="28"/>
      <c r="E136" s="28"/>
      <c r="F136" s="28"/>
      <c r="G136" s="31"/>
      <c r="H136" s="29"/>
      <c r="I136" s="30"/>
      <c r="J136" s="31"/>
      <c r="K136" s="31"/>
      <c r="L136" s="36"/>
    </row>
    <row r="137" spans="2:12" ht="30" customHeight="1" x14ac:dyDescent="0.25">
      <c r="B137" s="34"/>
      <c r="C137" s="35"/>
      <c r="D137" s="28"/>
      <c r="E137" s="28"/>
      <c r="F137" s="28"/>
      <c r="G137" s="31"/>
      <c r="H137" s="29"/>
      <c r="I137" s="30"/>
      <c r="J137" s="31"/>
      <c r="K137" s="31"/>
      <c r="L137" s="36"/>
    </row>
    <row r="138" spans="2:12" ht="30" customHeight="1" x14ac:dyDescent="0.25">
      <c r="B138" s="34"/>
      <c r="C138" s="35"/>
      <c r="D138" s="28"/>
      <c r="E138" s="28"/>
      <c r="F138" s="28"/>
      <c r="G138" s="31"/>
      <c r="H138" s="29"/>
      <c r="I138" s="30"/>
      <c r="J138" s="31"/>
      <c r="K138" s="31"/>
      <c r="L138" s="36"/>
    </row>
    <row r="139" spans="2:12" ht="30" customHeight="1" x14ac:dyDescent="0.25">
      <c r="B139" s="34"/>
      <c r="C139" s="35"/>
      <c r="D139" s="28"/>
      <c r="E139" s="28"/>
      <c r="F139" s="28"/>
      <c r="G139" s="31"/>
      <c r="H139" s="29"/>
      <c r="I139" s="30"/>
      <c r="J139" s="31"/>
      <c r="K139" s="31"/>
      <c r="L139" s="36"/>
    </row>
    <row r="140" spans="2:12" ht="30" customHeight="1" x14ac:dyDescent="0.25">
      <c r="B140" s="34"/>
      <c r="C140" s="35"/>
      <c r="D140" s="28"/>
      <c r="E140" s="28"/>
      <c r="F140" s="28"/>
      <c r="G140" s="31"/>
      <c r="H140" s="29"/>
      <c r="I140" s="30"/>
      <c r="J140" s="31"/>
      <c r="K140" s="31"/>
      <c r="L140" s="36"/>
    </row>
    <row r="141" spans="2:12" ht="30" customHeight="1" x14ac:dyDescent="0.25">
      <c r="B141" s="34"/>
      <c r="C141" s="35"/>
      <c r="D141" s="28"/>
      <c r="E141" s="28"/>
      <c r="F141" s="28"/>
      <c r="G141" s="31"/>
      <c r="H141" s="29"/>
      <c r="I141" s="30"/>
      <c r="J141" s="31"/>
      <c r="K141" s="31"/>
      <c r="L141" s="36"/>
    </row>
    <row r="142" spans="2:12" ht="30" customHeight="1" x14ac:dyDescent="0.25">
      <c r="B142" s="34"/>
      <c r="C142" s="35"/>
      <c r="D142" s="28"/>
      <c r="E142" s="28"/>
      <c r="F142" s="28"/>
      <c r="G142" s="31"/>
      <c r="H142" s="29"/>
      <c r="I142" s="30"/>
      <c r="J142" s="31"/>
      <c r="K142" s="31"/>
      <c r="L142" s="36"/>
    </row>
    <row r="143" spans="2:12" ht="30" customHeight="1" x14ac:dyDescent="0.25">
      <c r="B143" s="34"/>
      <c r="C143" s="35"/>
      <c r="D143" s="28"/>
      <c r="E143" s="28"/>
      <c r="F143" s="28"/>
      <c r="G143" s="31"/>
      <c r="H143" s="29"/>
      <c r="I143" s="30"/>
      <c r="J143" s="31"/>
      <c r="K143" s="31"/>
      <c r="L143" s="36"/>
    </row>
    <row r="144" spans="2:12" ht="30" customHeight="1" x14ac:dyDescent="0.25">
      <c r="B144" s="34"/>
      <c r="C144" s="35"/>
      <c r="D144" s="28"/>
      <c r="E144" s="28"/>
      <c r="F144" s="28"/>
      <c r="G144" s="31"/>
      <c r="H144" s="29"/>
      <c r="I144" s="30"/>
      <c r="J144" s="31"/>
      <c r="K144" s="31"/>
      <c r="L144" s="36"/>
    </row>
    <row r="145" spans="2:12" ht="16.5" thickBot="1" x14ac:dyDescent="0.3">
      <c r="B145" s="38"/>
      <c r="C145" s="39"/>
      <c r="D145" s="40"/>
      <c r="E145" s="40"/>
      <c r="F145" s="40"/>
      <c r="G145" s="41"/>
      <c r="H145" s="42"/>
      <c r="I145" s="43"/>
      <c r="J145" s="41"/>
      <c r="K145" s="41"/>
      <c r="L145" s="44"/>
    </row>
    <row r="147" spans="2:12" ht="30.75" thickBot="1" x14ac:dyDescent="0.3">
      <c r="B147" s="45" t="s">
        <v>155</v>
      </c>
      <c r="C147"/>
      <c r="D147"/>
    </row>
    <row r="148" spans="2:12" ht="45" x14ac:dyDescent="0.25">
      <c r="B148" s="46" t="s">
        <v>24</v>
      </c>
      <c r="C148" s="47" t="s">
        <v>156</v>
      </c>
      <c r="D148" s="48" t="s">
        <v>33</v>
      </c>
    </row>
    <row r="149" spans="2:12" x14ac:dyDescent="0.25">
      <c r="B149" s="49"/>
      <c r="C149" s="50"/>
      <c r="D149" s="51"/>
    </row>
    <row r="150" spans="2:12" x14ac:dyDescent="0.25">
      <c r="B150" s="49"/>
      <c r="C150" s="50"/>
      <c r="D150" s="51"/>
    </row>
    <row r="151" spans="2:12" x14ac:dyDescent="0.25">
      <c r="B151" s="49"/>
      <c r="C151" s="50"/>
      <c r="D151" s="51"/>
    </row>
    <row r="152" spans="2:12" x14ac:dyDescent="0.25">
      <c r="B152" s="49"/>
      <c r="C152" s="50"/>
      <c r="D152" s="51"/>
    </row>
    <row r="153" spans="2:12" ht="15.75" thickBot="1" x14ac:dyDescent="0.3">
      <c r="B153" s="52"/>
      <c r="C153" s="53"/>
      <c r="D153" s="54"/>
    </row>
  </sheetData>
  <autoFilter ref="B18:L102">
    <sortState ref="B19:L102">
      <sortCondition ref="B18:B102"/>
    </sortState>
  </autoFilter>
  <mergeCells count="13">
    <mergeCell ref="C5:D5"/>
    <mergeCell ref="F5:K9"/>
    <mergeCell ref="C6:D6"/>
    <mergeCell ref="C7:D7"/>
    <mergeCell ref="C8:D8"/>
    <mergeCell ref="C9:D9"/>
    <mergeCell ref="C10:D10"/>
    <mergeCell ref="C11:D11"/>
    <mergeCell ref="F11:K15"/>
    <mergeCell ref="C12:D12"/>
    <mergeCell ref="C13:D13"/>
    <mergeCell ref="C14:D14"/>
    <mergeCell ref="C15:D15"/>
  </mergeCells>
  <hyperlinks>
    <hyperlink ref="C8" r:id="rId1" display="www.banrep,.gov.co"/>
    <hyperlink ref="C11" r:id="rId2"/>
    <hyperlink ref="L19" r:id="rId3"/>
    <hyperlink ref="L20:L102" r:id="rId4" display="atencionalciudadano@banrep.gov.co"/>
    <hyperlink ref="L103:L108" r:id="rId5" display="atencionalciudadano@banrep.gov.co"/>
    <hyperlink ref="L109:L122" r:id="rId6" display="atencionalciudadano@banrep.gov.co"/>
    <hyperlink ref="L123" r:id="rId7"/>
  </hyperlinks>
  <pageMargins left="0.2" right="0.2" top="0.36" bottom="0.42" header="0.3" footer="0.3"/>
  <pageSetup scale="51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Julio 2015 VF</vt:lpstr>
      <vt:lpstr>'Consolidado Julio 2015 VF'!Área_de_impresión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Ayala Gutiérrez Martín Eduardo</dc:creator>
  <cp:lastModifiedBy>Reyes Gonzalo Javier Hernando</cp:lastModifiedBy>
  <dcterms:created xsi:type="dcterms:W3CDTF">2015-07-31T18:14:51Z</dcterms:created>
  <dcterms:modified xsi:type="dcterms:W3CDTF">2015-10-14T16:05:45Z</dcterms:modified>
</cp:coreProperties>
</file>